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aink\Downloads\"/>
    </mc:Choice>
  </mc:AlternateContent>
  <xr:revisionPtr revIDLastSave="0" documentId="13_ncr:1_{D2A68A9E-8B90-4182-A7C6-D70E983C6EC8}" xr6:coauthVersionLast="47" xr6:coauthVersionMax="47" xr10:uidLastSave="{00000000-0000-0000-0000-000000000000}"/>
  <bookViews>
    <workbookView xWindow="-120" yWindow="-120" windowWidth="29040" windowHeight="15720" tabRatio="725" xr2:uid="{00000000-000D-0000-FFFF-FFFF00000000}"/>
  </bookViews>
  <sheets>
    <sheet name="Glance" sheetId="13" r:id="rId1"/>
    <sheet name="QTR" sheetId="12" r:id="rId2"/>
    <sheet name="P&amp;L" sheetId="7" r:id="rId3"/>
    <sheet name="Balance Sheet" sheetId="8" r:id="rId4"/>
    <sheet name="Data Sheet" sheetId="2" r:id="rId5"/>
  </sheets>
  <definedNames>
    <definedName name="_xlnm.Print_Area" localSheetId="0">Glance!$A$1:$AE$33</definedName>
    <definedName name="UPDATE">'Data Sheet'!$E$1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3" l="1"/>
  <c r="D28" i="13"/>
  <c r="E28" i="13"/>
  <c r="F28" i="13"/>
  <c r="G28" i="13"/>
  <c r="H28" i="13"/>
  <c r="I28" i="13"/>
  <c r="J28" i="13"/>
  <c r="K28" i="13"/>
  <c r="B28" i="13"/>
  <c r="C32" i="13"/>
  <c r="D32" i="13"/>
  <c r="E32" i="13"/>
  <c r="F32" i="13"/>
  <c r="G32" i="13"/>
  <c r="H32" i="13"/>
  <c r="I32" i="13"/>
  <c r="J32" i="13"/>
  <c r="K32" i="13"/>
  <c r="B32" i="13"/>
  <c r="B16" i="7"/>
  <c r="C16" i="7"/>
  <c r="D16" i="7"/>
  <c r="E16" i="7"/>
  <c r="F16" i="7"/>
  <c r="G16" i="7"/>
  <c r="H16" i="7"/>
  <c r="I16" i="7"/>
  <c r="J16" i="7"/>
  <c r="K16" i="7"/>
  <c r="A1" i="13"/>
  <c r="K32" i="7" l="1"/>
  <c r="C32" i="7"/>
  <c r="D32" i="7"/>
  <c r="E32" i="7"/>
  <c r="F32" i="7"/>
  <c r="G32" i="7"/>
  <c r="H32" i="7"/>
  <c r="I32" i="7"/>
  <c r="J32" i="7"/>
  <c r="B32" i="7"/>
  <c r="C31" i="7"/>
  <c r="D31" i="7"/>
  <c r="E31" i="7"/>
  <c r="F31" i="7"/>
  <c r="G31" i="7"/>
  <c r="H31" i="7"/>
  <c r="I31" i="7"/>
  <c r="J31" i="7"/>
  <c r="K31" i="7"/>
  <c r="B31" i="7"/>
  <c r="B2" i="7"/>
  <c r="B19" i="7" s="1"/>
  <c r="B20" i="13" l="1"/>
  <c r="J3" i="7"/>
  <c r="G3" i="12"/>
  <c r="H23" i="13" s="1"/>
  <c r="G3" i="7"/>
  <c r="F3" i="12"/>
  <c r="C3" i="12"/>
  <c r="D3" i="12"/>
  <c r="E3" i="12"/>
  <c r="H3" i="12"/>
  <c r="I3" i="12"/>
  <c r="J3" i="12"/>
  <c r="E3" i="7"/>
  <c r="F3" i="7"/>
  <c r="F20" i="7" l="1"/>
  <c r="F21" i="7"/>
  <c r="E20" i="7"/>
  <c r="E21" i="7"/>
  <c r="G20" i="7"/>
  <c r="G21" i="7"/>
  <c r="R23" i="13"/>
  <c r="J21" i="7"/>
  <c r="J20" i="7"/>
  <c r="B2" i="12"/>
  <c r="C2" i="12"/>
  <c r="B3" i="12"/>
  <c r="B4" i="12"/>
  <c r="C4" i="12"/>
  <c r="C15" i="12" s="1"/>
  <c r="B5" i="12"/>
  <c r="C5" i="12"/>
  <c r="B7" i="12"/>
  <c r="C7" i="12"/>
  <c r="B8" i="12"/>
  <c r="C8" i="12"/>
  <c r="B10" i="12"/>
  <c r="C10" i="12"/>
  <c r="C6" i="12" l="1"/>
  <c r="C9" i="12" s="1"/>
  <c r="C17" i="12" s="1"/>
  <c r="B6" i="12"/>
  <c r="B9" i="12" s="1"/>
  <c r="B17" i="12" s="1"/>
  <c r="B15" i="12"/>
  <c r="B18" i="12" l="1"/>
  <c r="C18" i="12"/>
  <c r="C11" i="12"/>
  <c r="C16" i="12" s="1"/>
  <c r="B11" i="12"/>
  <c r="B1" i="8"/>
  <c r="B2" i="8"/>
  <c r="C2" i="8"/>
  <c r="D2" i="8"/>
  <c r="E2" i="8"/>
  <c r="F2" i="8"/>
  <c r="G2" i="8"/>
  <c r="H2" i="8"/>
  <c r="I2" i="8"/>
  <c r="J2" i="8"/>
  <c r="K2" i="8"/>
  <c r="B3" i="8"/>
  <c r="C3" i="8"/>
  <c r="D3" i="8"/>
  <c r="E3" i="8"/>
  <c r="F3" i="8"/>
  <c r="G3" i="8"/>
  <c r="H3" i="8"/>
  <c r="I3" i="8"/>
  <c r="J3" i="8"/>
  <c r="K3" i="8"/>
  <c r="B4" i="8"/>
  <c r="C4" i="8"/>
  <c r="D4" i="8"/>
  <c r="E4" i="8"/>
  <c r="F4" i="8"/>
  <c r="G4" i="8"/>
  <c r="H4" i="8"/>
  <c r="I4" i="8"/>
  <c r="J4" i="8"/>
  <c r="AA23" i="13" s="1"/>
  <c r="K4" i="8"/>
  <c r="AB23" i="13" s="1"/>
  <c r="AC23" i="13" s="1"/>
  <c r="B5" i="8"/>
  <c r="C5" i="8"/>
  <c r="D5" i="8"/>
  <c r="E5" i="8"/>
  <c r="F5" i="8"/>
  <c r="G5" i="8"/>
  <c r="H5" i="8"/>
  <c r="I5" i="8"/>
  <c r="J5" i="8"/>
  <c r="AA24" i="13" s="1"/>
  <c r="K5" i="8"/>
  <c r="AB24" i="13" s="1"/>
  <c r="B6" i="8"/>
  <c r="C6" i="8"/>
  <c r="D6" i="8"/>
  <c r="E6" i="8"/>
  <c r="F6" i="8"/>
  <c r="G6" i="8"/>
  <c r="H6" i="8"/>
  <c r="I6" i="8"/>
  <c r="J6" i="8"/>
  <c r="K6" i="8"/>
  <c r="B9" i="8"/>
  <c r="C9" i="8"/>
  <c r="D9" i="8"/>
  <c r="E9" i="8"/>
  <c r="F9" i="8"/>
  <c r="G9" i="8"/>
  <c r="H9" i="8"/>
  <c r="I9" i="8"/>
  <c r="J9" i="8"/>
  <c r="AA26" i="13" s="1"/>
  <c r="K9" i="8"/>
  <c r="AB26" i="13" s="1"/>
  <c r="B10" i="8"/>
  <c r="C10" i="8"/>
  <c r="D10" i="8"/>
  <c r="E10" i="8"/>
  <c r="F10" i="8"/>
  <c r="G10" i="8"/>
  <c r="H10" i="8"/>
  <c r="I10" i="8"/>
  <c r="J10" i="8"/>
  <c r="AA25" i="13" s="1"/>
  <c r="K10" i="8"/>
  <c r="AB25" i="13" s="1"/>
  <c r="AC25" i="13" s="1"/>
  <c r="B11" i="8"/>
  <c r="C11" i="8"/>
  <c r="D11" i="8"/>
  <c r="E11" i="8"/>
  <c r="F11" i="8"/>
  <c r="G11" i="8"/>
  <c r="H11" i="8"/>
  <c r="I11" i="8"/>
  <c r="J11" i="8"/>
  <c r="K11" i="8"/>
  <c r="AC26" i="13" l="1"/>
  <c r="B16" i="12"/>
  <c r="B21" i="12"/>
  <c r="AC24" i="13"/>
  <c r="K7" i="8"/>
  <c r="C7" i="8"/>
  <c r="F7" i="8"/>
  <c r="J7" i="8"/>
  <c r="I7" i="8"/>
  <c r="H7" i="8"/>
  <c r="E7" i="8"/>
  <c r="D7" i="8"/>
  <c r="B7" i="8"/>
  <c r="G7" i="8"/>
  <c r="D4" i="12"/>
  <c r="E4" i="12"/>
  <c r="F4" i="12"/>
  <c r="G4" i="12"/>
  <c r="H4" i="12"/>
  <c r="I4" i="12"/>
  <c r="J4" i="12"/>
  <c r="K4" i="12"/>
  <c r="D10" i="12"/>
  <c r="E10" i="12"/>
  <c r="F10" i="12"/>
  <c r="G10" i="12"/>
  <c r="H10" i="12"/>
  <c r="I10" i="12"/>
  <c r="J10" i="12"/>
  <c r="K10" i="12"/>
  <c r="D8" i="12"/>
  <c r="E8" i="12"/>
  <c r="F8" i="12"/>
  <c r="G8" i="12"/>
  <c r="H8" i="12"/>
  <c r="I8" i="12"/>
  <c r="J8" i="12"/>
  <c r="K8" i="12"/>
  <c r="D7" i="12"/>
  <c r="E7" i="12"/>
  <c r="F7" i="12"/>
  <c r="G7" i="12"/>
  <c r="H7" i="12"/>
  <c r="I7" i="12"/>
  <c r="J7" i="12"/>
  <c r="K7" i="12"/>
  <c r="D5" i="12"/>
  <c r="D6" i="12" s="1"/>
  <c r="E5" i="12"/>
  <c r="E6" i="12" s="1"/>
  <c r="F5" i="12"/>
  <c r="F6" i="12" s="1"/>
  <c r="G5" i="12"/>
  <c r="G6" i="12" s="1"/>
  <c r="H5" i="12"/>
  <c r="I5" i="12"/>
  <c r="J5" i="12"/>
  <c r="K5" i="12"/>
  <c r="K3" i="12"/>
  <c r="I23" i="13" s="1"/>
  <c r="J23" i="13" s="1"/>
  <c r="D2" i="12"/>
  <c r="E2" i="12"/>
  <c r="F2" i="12"/>
  <c r="G2" i="12"/>
  <c r="H2" i="12"/>
  <c r="I2" i="12"/>
  <c r="J2" i="12"/>
  <c r="K2" i="12"/>
  <c r="B1" i="12"/>
  <c r="G15" i="12" l="1"/>
  <c r="H25" i="13" s="1"/>
  <c r="G9" i="12"/>
  <c r="G11" i="12" s="1"/>
  <c r="H24" i="13" s="1"/>
  <c r="J15" i="12"/>
  <c r="E15" i="12"/>
  <c r="F9" i="12"/>
  <c r="F18" i="12" s="1"/>
  <c r="F15" i="12"/>
  <c r="D15" i="12"/>
  <c r="J6" i="12"/>
  <c r="J9" i="12" s="1"/>
  <c r="J11" i="12" s="1"/>
  <c r="I6" i="12"/>
  <c r="I9" i="12" s="1"/>
  <c r="I18" i="12" s="1"/>
  <c r="H6" i="12"/>
  <c r="H9" i="12" s="1"/>
  <c r="H17" i="12" s="1"/>
  <c r="E9" i="12"/>
  <c r="E18" i="12" s="1"/>
  <c r="H15" i="12"/>
  <c r="I15" i="12"/>
  <c r="D9" i="12"/>
  <c r="D18" i="12" s="1"/>
  <c r="K6" i="12"/>
  <c r="K15" i="12"/>
  <c r="I25" i="13" s="1"/>
  <c r="J25" i="13" s="1"/>
  <c r="B6" i="2"/>
  <c r="E1" i="2"/>
  <c r="F11" i="12" l="1"/>
  <c r="F16" i="12" s="1"/>
  <c r="H11" i="12"/>
  <c r="I11" i="12"/>
  <c r="D11" i="12"/>
  <c r="E11" i="12"/>
  <c r="E16" i="12" s="1"/>
  <c r="G18" i="12"/>
  <c r="F17" i="12"/>
  <c r="G17" i="12"/>
  <c r="H18" i="12"/>
  <c r="D17" i="12"/>
  <c r="E17" i="12"/>
  <c r="J18" i="12"/>
  <c r="J17" i="12"/>
  <c r="I17" i="12"/>
  <c r="K9" i="12"/>
  <c r="K11" i="12" s="1"/>
  <c r="I24" i="13" s="1"/>
  <c r="J24" i="13" s="1"/>
  <c r="J16" i="12"/>
  <c r="G16" i="12" l="1"/>
  <c r="H16" i="12"/>
  <c r="D16" i="12"/>
  <c r="K17" i="12"/>
  <c r="K16" i="12"/>
  <c r="K18" i="12"/>
  <c r="I16" i="12"/>
  <c r="B16" i="8"/>
  <c r="C16" i="8"/>
  <c r="D16" i="8"/>
  <c r="E16" i="8"/>
  <c r="F16" i="8"/>
  <c r="G16" i="8"/>
  <c r="H16" i="8"/>
  <c r="I16" i="8"/>
  <c r="J16" i="8"/>
  <c r="K16" i="8"/>
  <c r="B17" i="8"/>
  <c r="C17" i="8"/>
  <c r="D17" i="8"/>
  <c r="E17" i="8"/>
  <c r="F17" i="8"/>
  <c r="G17" i="8"/>
  <c r="H17" i="8"/>
  <c r="I17" i="8"/>
  <c r="J17" i="8"/>
  <c r="K17" i="8"/>
  <c r="C15" i="8"/>
  <c r="D15" i="8"/>
  <c r="E15" i="8"/>
  <c r="F15" i="8"/>
  <c r="G15" i="8"/>
  <c r="H15" i="8"/>
  <c r="I15" i="8"/>
  <c r="J15" i="8"/>
  <c r="K15" i="8"/>
  <c r="B15" i="8"/>
  <c r="B12" i="8"/>
  <c r="C12" i="8"/>
  <c r="D12" i="8"/>
  <c r="E12" i="8"/>
  <c r="F12" i="8"/>
  <c r="G12" i="8"/>
  <c r="H12" i="8"/>
  <c r="I12" i="8"/>
  <c r="J12" i="8"/>
  <c r="K12" i="8"/>
  <c r="K31" i="8"/>
  <c r="J31" i="8"/>
  <c r="I31" i="8"/>
  <c r="H31" i="8"/>
  <c r="G31" i="8"/>
  <c r="F31" i="8"/>
  <c r="E31" i="8"/>
  <c r="D31" i="8"/>
  <c r="C31" i="8"/>
  <c r="B31" i="8"/>
  <c r="L11" i="7"/>
  <c r="L4" i="7"/>
  <c r="L9" i="7"/>
  <c r="L3" i="7"/>
  <c r="C10" i="7"/>
  <c r="D10" i="7"/>
  <c r="E10" i="7"/>
  <c r="F10" i="7"/>
  <c r="G10" i="7"/>
  <c r="H10" i="7"/>
  <c r="I10" i="7"/>
  <c r="J10" i="7"/>
  <c r="K10" i="7"/>
  <c r="B10" i="7"/>
  <c r="C8" i="7"/>
  <c r="D8" i="7"/>
  <c r="E8" i="7"/>
  <c r="F8" i="7"/>
  <c r="G8" i="7"/>
  <c r="H8" i="7"/>
  <c r="I8" i="7"/>
  <c r="J8" i="7"/>
  <c r="K8" i="7"/>
  <c r="B8" i="7"/>
  <c r="C7" i="7"/>
  <c r="D7" i="7"/>
  <c r="E7" i="7"/>
  <c r="F7" i="7"/>
  <c r="G7" i="7"/>
  <c r="H7" i="7"/>
  <c r="I7" i="7"/>
  <c r="J7" i="7"/>
  <c r="K7" i="7"/>
  <c r="B7" i="7"/>
  <c r="C5" i="7"/>
  <c r="D5" i="7"/>
  <c r="E5" i="7"/>
  <c r="F5" i="7"/>
  <c r="G5" i="7"/>
  <c r="H5" i="7"/>
  <c r="I5" i="7"/>
  <c r="J5" i="7"/>
  <c r="K5" i="7"/>
  <c r="B5" i="7"/>
  <c r="K20" i="8" l="1"/>
  <c r="K25" i="8" s="1"/>
  <c r="E20" i="8"/>
  <c r="E25" i="8" s="1"/>
  <c r="D20" i="8"/>
  <c r="D25" i="8" s="1"/>
  <c r="C20" i="8"/>
  <c r="C25" i="8" s="1"/>
  <c r="H18" i="8"/>
  <c r="G19" i="8"/>
  <c r="F19" i="8"/>
  <c r="K19" i="8"/>
  <c r="B19" i="8"/>
  <c r="E19" i="8"/>
  <c r="D18" i="8"/>
  <c r="C19" i="8"/>
  <c r="J19" i="8"/>
  <c r="J13" i="8"/>
  <c r="J40" i="8" s="1"/>
  <c r="L13" i="7"/>
  <c r="L14" i="7"/>
  <c r="H19" i="8"/>
  <c r="D19" i="8"/>
  <c r="I20" i="8"/>
  <c r="J18" i="8"/>
  <c r="B18" i="8"/>
  <c r="I19" i="8"/>
  <c r="K18" i="8"/>
  <c r="H20" i="8"/>
  <c r="H25" i="8" s="1"/>
  <c r="I18" i="8"/>
  <c r="G20" i="8"/>
  <c r="G25" i="8" s="1"/>
  <c r="G13" i="8"/>
  <c r="G38" i="8" s="1"/>
  <c r="F20" i="8"/>
  <c r="F13" i="8"/>
  <c r="F40" i="8" s="1"/>
  <c r="G18" i="8"/>
  <c r="J20" i="8"/>
  <c r="J25" i="8" s="1"/>
  <c r="E13" i="8"/>
  <c r="E46" i="8" s="1"/>
  <c r="F18" i="8"/>
  <c r="C18" i="8"/>
  <c r="B20" i="8"/>
  <c r="B25" i="8" s="1"/>
  <c r="E18" i="8"/>
  <c r="K13" i="8"/>
  <c r="C13" i="8"/>
  <c r="B13" i="8"/>
  <c r="B41" i="8" s="1"/>
  <c r="D13" i="8"/>
  <c r="D38" i="8" s="1"/>
  <c r="I13" i="8"/>
  <c r="I46" i="8" s="1"/>
  <c r="H13" i="8"/>
  <c r="H45" i="8" s="1"/>
  <c r="J36" i="8"/>
  <c r="B36" i="8"/>
  <c r="D36" i="8"/>
  <c r="C36" i="8"/>
  <c r="K36" i="8"/>
  <c r="G36" i="8"/>
  <c r="I36" i="8"/>
  <c r="F36" i="8"/>
  <c r="H36" i="8"/>
  <c r="E36" i="8"/>
  <c r="B45" i="8" l="1"/>
  <c r="H46" i="8"/>
  <c r="B46" i="8"/>
  <c r="J45" i="8"/>
  <c r="H38" i="8"/>
  <c r="G35" i="8"/>
  <c r="B47" i="8"/>
  <c r="D45" i="8"/>
  <c r="J46" i="8"/>
  <c r="I40" i="8"/>
  <c r="J47" i="8"/>
  <c r="G33" i="8"/>
  <c r="I39" i="8"/>
  <c r="E34" i="8"/>
  <c r="B38" i="8"/>
  <c r="H40" i="8"/>
  <c r="G45" i="8"/>
  <c r="I45" i="8"/>
  <c r="G34" i="8"/>
  <c r="E38" i="8"/>
  <c r="B40" i="8"/>
  <c r="J41" i="8"/>
  <c r="H39" i="8"/>
  <c r="E35" i="8"/>
  <c r="B33" i="8"/>
  <c r="F33" i="8"/>
  <c r="F34" i="8"/>
  <c r="K33" i="8"/>
  <c r="J33" i="8"/>
  <c r="H32" i="8"/>
  <c r="C42" i="8"/>
  <c r="K42" i="8"/>
  <c r="F47" i="8"/>
  <c r="C46" i="8"/>
  <c r="B35" i="8"/>
  <c r="C35" i="8"/>
  <c r="C32" i="8"/>
  <c r="D32" i="8"/>
  <c r="K46" i="8"/>
  <c r="F39" i="8"/>
  <c r="G39" i="8"/>
  <c r="G40" i="8"/>
  <c r="E45" i="8"/>
  <c r="H42" i="8"/>
  <c r="I47" i="8"/>
  <c r="I35" i="8"/>
  <c r="D40" i="8"/>
  <c r="I32" i="8"/>
  <c r="E40" i="8"/>
  <c r="J32" i="8"/>
  <c r="D41" i="8"/>
  <c r="I41" i="8"/>
  <c r="E41" i="8"/>
  <c r="B39" i="8"/>
  <c r="F35" i="8"/>
  <c r="I34" i="8"/>
  <c r="H41" i="8"/>
  <c r="F42" i="8"/>
  <c r="K40" i="8"/>
  <c r="K45" i="8"/>
  <c r="D35" i="8"/>
  <c r="F38" i="8"/>
  <c r="G42" i="8"/>
  <c r="C34" i="8"/>
  <c r="J35" i="8"/>
  <c r="K35" i="8"/>
  <c r="K32" i="8"/>
  <c r="B32" i="8"/>
  <c r="D39" i="8"/>
  <c r="H34" i="8"/>
  <c r="C33" i="8"/>
  <c r="I42" i="8"/>
  <c r="J42" i="8"/>
  <c r="D46" i="8"/>
  <c r="C41" i="8"/>
  <c r="F46" i="8"/>
  <c r="C38" i="8"/>
  <c r="G46" i="8"/>
  <c r="F45" i="8"/>
  <c r="B34" i="8"/>
  <c r="J39" i="8"/>
  <c r="E32" i="8"/>
  <c r="F32" i="8"/>
  <c r="D33" i="8"/>
  <c r="D34" i="8"/>
  <c r="D42" i="8"/>
  <c r="E42" i="8"/>
  <c r="C47" i="8"/>
  <c r="K41" i="8"/>
  <c r="D47" i="8"/>
  <c r="K38" i="8"/>
  <c r="E47" i="8"/>
  <c r="K39" i="8"/>
  <c r="G32" i="8"/>
  <c r="G47" i="8"/>
  <c r="J34" i="8"/>
  <c r="B42" i="8"/>
  <c r="E39" i="8"/>
  <c r="I38" i="8"/>
  <c r="J38" i="8"/>
  <c r="H33" i="8"/>
  <c r="I33" i="8"/>
  <c r="G41" i="8"/>
  <c r="K34" i="8"/>
  <c r="F41" i="8"/>
  <c r="H47" i="8"/>
  <c r="H35" i="8"/>
  <c r="C40" i="8"/>
  <c r="K47" i="8"/>
  <c r="C45" i="8"/>
  <c r="C39" i="8"/>
  <c r="E33" i="8"/>
  <c r="I25" i="8"/>
  <c r="F25" i="8"/>
  <c r="C4" i="7" l="1"/>
  <c r="D4" i="7"/>
  <c r="E4" i="7"/>
  <c r="E13" i="7" s="1"/>
  <c r="F4" i="7"/>
  <c r="F13" i="7" s="1"/>
  <c r="G4" i="7"/>
  <c r="G13" i="7" s="1"/>
  <c r="H4" i="7"/>
  <c r="I4" i="7"/>
  <c r="J4" i="7"/>
  <c r="J13" i="7" s="1"/>
  <c r="K4" i="7"/>
  <c r="B4" i="7"/>
  <c r="C3" i="7"/>
  <c r="D3" i="7"/>
  <c r="E22" i="7"/>
  <c r="F22" i="7"/>
  <c r="G22" i="7"/>
  <c r="H3" i="7"/>
  <c r="I3" i="7"/>
  <c r="J22" i="7"/>
  <c r="K3" i="7"/>
  <c r="B3" i="7"/>
  <c r="C2" i="7"/>
  <c r="C19" i="7" s="1"/>
  <c r="D2" i="7"/>
  <c r="D19" i="7" s="1"/>
  <c r="E2" i="7"/>
  <c r="E19" i="7" s="1"/>
  <c r="F2" i="7"/>
  <c r="F19" i="7" s="1"/>
  <c r="G2" i="7"/>
  <c r="G19" i="7" s="1"/>
  <c r="H2" i="7"/>
  <c r="H19" i="7" s="1"/>
  <c r="I2" i="7"/>
  <c r="I19" i="7" s="1"/>
  <c r="J2" i="7"/>
  <c r="J19" i="7" s="1"/>
  <c r="K2" i="7"/>
  <c r="K19" i="7" s="1"/>
  <c r="B1" i="7"/>
  <c r="K13" i="7" l="1"/>
  <c r="S25" i="13" s="1"/>
  <c r="I13" i="7"/>
  <c r="H13" i="7"/>
  <c r="B22" i="7"/>
  <c r="B21" i="7"/>
  <c r="B20" i="7"/>
  <c r="D22" i="7"/>
  <c r="D20" i="7"/>
  <c r="D21" i="7"/>
  <c r="H20" i="7"/>
  <c r="H21" i="7"/>
  <c r="S23" i="13"/>
  <c r="T23" i="13" s="1"/>
  <c r="K21" i="7"/>
  <c r="K20" i="7"/>
  <c r="C22" i="7"/>
  <c r="C21" i="7"/>
  <c r="C20" i="7"/>
  <c r="I22" i="7"/>
  <c r="I20" i="7"/>
  <c r="I21" i="7"/>
  <c r="B13" i="7"/>
  <c r="D13" i="7"/>
  <c r="C13" i="7"/>
  <c r="H22" i="7"/>
  <c r="K22" i="7"/>
  <c r="K26" i="7"/>
  <c r="K27" i="7"/>
  <c r="K23" i="7"/>
  <c r="K24" i="7"/>
  <c r="K25" i="7"/>
  <c r="F26" i="7"/>
  <c r="F23" i="7"/>
  <c r="F25" i="7"/>
  <c r="F27" i="7"/>
  <c r="F24" i="7"/>
  <c r="E27" i="7"/>
  <c r="E25" i="7"/>
  <c r="E23" i="7"/>
  <c r="E26" i="7"/>
  <c r="E24" i="7"/>
  <c r="I25" i="7"/>
  <c r="I26" i="7"/>
  <c r="I23" i="7"/>
  <c r="I24" i="7"/>
  <c r="I27" i="7"/>
  <c r="H27" i="7"/>
  <c r="H25" i="7"/>
  <c r="H23" i="7"/>
  <c r="H26" i="7"/>
  <c r="H24" i="7"/>
  <c r="G26" i="7"/>
  <c r="G25" i="7"/>
  <c r="G23" i="7"/>
  <c r="G27" i="7"/>
  <c r="G24" i="7"/>
  <c r="D25" i="7"/>
  <c r="D27" i="7"/>
  <c r="D24" i="7"/>
  <c r="D23" i="7"/>
  <c r="D26" i="7"/>
  <c r="B25" i="7"/>
  <c r="B24" i="7"/>
  <c r="B27" i="7"/>
  <c r="B23" i="7"/>
  <c r="B26" i="7"/>
  <c r="C24" i="7"/>
  <c r="C26" i="7"/>
  <c r="C27" i="7"/>
  <c r="C23" i="7"/>
  <c r="C25" i="7"/>
  <c r="J27" i="7"/>
  <c r="J25" i="7"/>
  <c r="J23" i="7"/>
  <c r="J26" i="7"/>
  <c r="J24" i="7"/>
  <c r="G24" i="8"/>
  <c r="G22" i="8"/>
  <c r="G23" i="8"/>
  <c r="G29" i="13" s="1"/>
  <c r="D24" i="8"/>
  <c r="D22" i="8"/>
  <c r="D23" i="8"/>
  <c r="D29" i="13" s="1"/>
  <c r="F24" i="8"/>
  <c r="F22" i="8"/>
  <c r="F23" i="8"/>
  <c r="F29" i="13" s="1"/>
  <c r="K22" i="8"/>
  <c r="K24" i="8"/>
  <c r="K23" i="8"/>
  <c r="K29" i="13" s="1"/>
  <c r="C22" i="8"/>
  <c r="C24" i="8"/>
  <c r="C23" i="8"/>
  <c r="C29" i="13" s="1"/>
  <c r="J23" i="8"/>
  <c r="J29" i="13" s="1"/>
  <c r="J22" i="8"/>
  <c r="J24" i="8"/>
  <c r="I24" i="8"/>
  <c r="I22" i="8"/>
  <c r="I23" i="8"/>
  <c r="I29" i="13" s="1"/>
  <c r="E23" i="8"/>
  <c r="E29" i="13" s="1"/>
  <c r="E24" i="8"/>
  <c r="E22" i="8"/>
  <c r="H24" i="8"/>
  <c r="H22" i="8"/>
  <c r="H23" i="8"/>
  <c r="H29" i="13" s="1"/>
  <c r="H6" i="7"/>
  <c r="F6" i="7"/>
  <c r="F9" i="7" s="1"/>
  <c r="F15" i="7" s="1"/>
  <c r="E6" i="7"/>
  <c r="E9" i="7" s="1"/>
  <c r="E15" i="7" s="1"/>
  <c r="B6" i="7"/>
  <c r="B9" i="7" s="1"/>
  <c r="B15" i="7" s="1"/>
  <c r="D6" i="7"/>
  <c r="D9" i="7" s="1"/>
  <c r="G6" i="7"/>
  <c r="G9" i="7" s="1"/>
  <c r="G15" i="7" s="1"/>
  <c r="K6" i="7"/>
  <c r="C6" i="7"/>
  <c r="C9" i="7" s="1"/>
  <c r="C15" i="7" s="1"/>
  <c r="J6" i="7"/>
  <c r="J9" i="7" s="1"/>
  <c r="I6" i="7"/>
  <c r="I9" i="7" s="1"/>
  <c r="I15" i="7" s="1"/>
  <c r="D11" i="7" l="1"/>
  <c r="D15" i="7"/>
  <c r="J11" i="7"/>
  <c r="R24" i="13" s="1"/>
  <c r="J15" i="7"/>
  <c r="D33" i="7"/>
  <c r="D14" i="7"/>
  <c r="D12" i="7"/>
  <c r="H9" i="7"/>
  <c r="H15" i="7" s="1"/>
  <c r="C28" i="7"/>
  <c r="D28" i="7"/>
  <c r="J28" i="7"/>
  <c r="R25" i="13" s="1"/>
  <c r="T25" i="13" s="1"/>
  <c r="B28" i="7"/>
  <c r="F28" i="7"/>
  <c r="G28" i="7"/>
  <c r="I28" i="7"/>
  <c r="K28" i="7"/>
  <c r="E28" i="7"/>
  <c r="H28" i="7"/>
  <c r="J27" i="8"/>
  <c r="J31" i="13" s="1"/>
  <c r="G27" i="8"/>
  <c r="G31" i="13" s="1"/>
  <c r="I27" i="8"/>
  <c r="I31" i="13" s="1"/>
  <c r="C27" i="8"/>
  <c r="C31" i="13" s="1"/>
  <c r="E27" i="8"/>
  <c r="E31" i="13" s="1"/>
  <c r="F27" i="8"/>
  <c r="F31" i="13" s="1"/>
  <c r="D27" i="8"/>
  <c r="D31" i="13" s="1"/>
  <c r="F11" i="7"/>
  <c r="E11" i="7"/>
  <c r="C11" i="7"/>
  <c r="K9" i="7"/>
  <c r="K15" i="7" s="1"/>
  <c r="B11" i="7"/>
  <c r="G11" i="7"/>
  <c r="I11" i="7"/>
  <c r="J33" i="7" l="1"/>
  <c r="G14" i="7"/>
  <c r="G12" i="7"/>
  <c r="C33" i="7"/>
  <c r="C12" i="7"/>
  <c r="C14" i="7"/>
  <c r="E33" i="7"/>
  <c r="E14" i="7"/>
  <c r="E12" i="7"/>
  <c r="F33" i="7"/>
  <c r="F14" i="7"/>
  <c r="F12" i="7"/>
  <c r="I14" i="7"/>
  <c r="I12" i="7"/>
  <c r="B12" i="7"/>
  <c r="B14" i="7"/>
  <c r="J12" i="7"/>
  <c r="J14" i="7"/>
  <c r="G33" i="7"/>
  <c r="B33" i="7"/>
  <c r="I33" i="7"/>
  <c r="H27" i="8"/>
  <c r="H31" i="13" s="1"/>
  <c r="H11" i="7"/>
  <c r="E26" i="8"/>
  <c r="E30" i="13" s="1"/>
  <c r="I26" i="8"/>
  <c r="I30" i="13" s="1"/>
  <c r="K27" i="8"/>
  <c r="K31" i="13" s="1"/>
  <c r="D26" i="8"/>
  <c r="D30" i="13" s="1"/>
  <c r="F26" i="8"/>
  <c r="F30" i="13" s="1"/>
  <c r="J26" i="8"/>
  <c r="J30" i="13" s="1"/>
  <c r="G26" i="8"/>
  <c r="G30" i="13" s="1"/>
  <c r="C26" i="8"/>
  <c r="C30" i="13" s="1"/>
  <c r="K11" i="7"/>
  <c r="H12" i="7" l="1"/>
  <c r="H14" i="7"/>
  <c r="K12" i="7"/>
  <c r="K14" i="7"/>
  <c r="S24" i="13"/>
  <c r="T24" i="13" s="1"/>
  <c r="K33" i="7"/>
  <c r="H26" i="8"/>
  <c r="H30" i="13" s="1"/>
  <c r="H33" i="7"/>
  <c r="K26" i="8"/>
  <c r="K30" i="13" s="1"/>
</calcChain>
</file>

<file path=xl/sharedStrings.xml><?xml version="1.0" encoding="utf-8"?>
<sst xmlns="http://schemas.openxmlformats.org/spreadsheetml/2006/main" count="196" uniqueCount="124">
  <si>
    <t>COMPANY NAME</t>
  </si>
  <si>
    <t>LATEST VERSION</t>
  </si>
  <si>
    <t>PLEASE DO NOT MAKE ANY CHANGES TO THIS SHEET</t>
  </si>
  <si>
    <t>CURRENT VERSION</t>
  </si>
  <si>
    <t>META</t>
  </si>
  <si>
    <t>Number of shares</t>
  </si>
  <si>
    <t>Face Value</t>
  </si>
  <si>
    <t>Current Price</t>
  </si>
  <si>
    <t>Market Capitalization</t>
  </si>
  <si>
    <t>PROFIT &amp; LOSS</t>
  </si>
  <si>
    <t>Report Date</t>
  </si>
  <si>
    <t>Sales</t>
  </si>
  <si>
    <t>Raw Material Cost</t>
  </si>
  <si>
    <t>Change in Inventory</t>
  </si>
  <si>
    <t>Power and Fuel</t>
  </si>
  <si>
    <t>Other Mfr. Exp</t>
  </si>
  <si>
    <t>Employee Cost</t>
  </si>
  <si>
    <t>Selling and admin</t>
  </si>
  <si>
    <t>Other Expenses</t>
  </si>
  <si>
    <t>Other Income</t>
  </si>
  <si>
    <t>Depreciation</t>
  </si>
  <si>
    <t>Interest</t>
  </si>
  <si>
    <t>Profit before tax</t>
  </si>
  <si>
    <t>Tax</t>
  </si>
  <si>
    <t>Net profit</t>
  </si>
  <si>
    <t>Dividend Amount</t>
  </si>
  <si>
    <t>Quarters</t>
  </si>
  <si>
    <t>Expenses</t>
  </si>
  <si>
    <t>Operating Profit</t>
  </si>
  <si>
    <t>BALANCE SHEET</t>
  </si>
  <si>
    <t>Equity Share Capital</t>
  </si>
  <si>
    <t>Reserves</t>
  </si>
  <si>
    <t>Borrowings</t>
  </si>
  <si>
    <t>Other Liabilities</t>
  </si>
  <si>
    <t>Total</t>
  </si>
  <si>
    <t>Net Block</t>
  </si>
  <si>
    <t>Capital Work in Progress</t>
  </si>
  <si>
    <t>Investments</t>
  </si>
  <si>
    <t>Other Assets</t>
  </si>
  <si>
    <t>Receivables</t>
  </si>
  <si>
    <t>Inventory</t>
  </si>
  <si>
    <t>Cash &amp; Bank</t>
  </si>
  <si>
    <t>No. of Equity Shares</t>
  </si>
  <si>
    <t>New Bonus Shares</t>
  </si>
  <si>
    <t>Face value</t>
  </si>
  <si>
    <t>CASH FLOW:</t>
  </si>
  <si>
    <t>Cash from Operating Activity</t>
  </si>
  <si>
    <t>Cash from Investing Activity</t>
  </si>
  <si>
    <t>Cash from Financing Activity</t>
  </si>
  <si>
    <t>Net Cash Flow</t>
  </si>
  <si>
    <t>PRICE:</t>
  </si>
  <si>
    <t>DERIVED:</t>
  </si>
  <si>
    <t>Adjusted Equity Shares in Cr</t>
  </si>
  <si>
    <t>APAR INDUSTRIES LTD</t>
  </si>
  <si>
    <t>INR (in crores)</t>
  </si>
  <si>
    <t>TTM</t>
  </si>
  <si>
    <t>Operating Profit Margin (OPM) %</t>
  </si>
  <si>
    <t>EBITDA</t>
  </si>
  <si>
    <t>Profit before tax (PBT)</t>
  </si>
  <si>
    <t>Net Profit Margin (NPM) %</t>
  </si>
  <si>
    <t>Tax Payout %</t>
  </si>
  <si>
    <t>Interest Coverage Ratio (x)</t>
  </si>
  <si>
    <t>Working Capital</t>
  </si>
  <si>
    <t>Fixed Assets (Net Block)</t>
  </si>
  <si>
    <t>Capital Work in Progress (CWIP)</t>
  </si>
  <si>
    <t>Total Liabilities</t>
  </si>
  <si>
    <t>Total Assets</t>
  </si>
  <si>
    <t>Total Equity</t>
  </si>
  <si>
    <t>Net Fixed Asset Turnover</t>
  </si>
  <si>
    <t>Inventory Turnover</t>
  </si>
  <si>
    <t>Debt To Equity</t>
  </si>
  <si>
    <t>Return on average Equity (RoAE)</t>
  </si>
  <si>
    <t>Return on average Capital Employed</t>
  </si>
  <si>
    <t>Capital Employed</t>
  </si>
  <si>
    <t>Dividend Payout %</t>
  </si>
  <si>
    <t>Common Size Balance Sheet</t>
  </si>
  <si>
    <t>Year &gt;&gt;</t>
  </si>
  <si>
    <t>Other items as % of Total Assets</t>
  </si>
  <si>
    <t>Raw material Expenses</t>
  </si>
  <si>
    <t>Common Sizing Expenses</t>
  </si>
  <si>
    <t xml:space="preserve">Other Mfr. Exp </t>
  </si>
  <si>
    <t xml:space="preserve">Employee Cost </t>
  </si>
  <si>
    <t xml:space="preserve">Other Expenses </t>
  </si>
  <si>
    <t>Power and Fuel Cost</t>
  </si>
  <si>
    <t>Selling and Admin Expenses</t>
  </si>
  <si>
    <t>Net Profit / Profit after tax (PAT)</t>
  </si>
  <si>
    <t>COMPANY NAME  
Last same Q vs Lates Q</t>
  </si>
  <si>
    <t>Reserves Increasing</t>
  </si>
  <si>
    <t>Debtor or RC Days</t>
  </si>
  <si>
    <t>CWIP Increasing YOY</t>
  </si>
  <si>
    <t>Quarterly Reports</t>
  </si>
  <si>
    <t>Yearly Reports</t>
  </si>
  <si>
    <t xml:space="preserve">COMPANY NAME </t>
  </si>
  <si>
    <t>Borrowing decreasing YoY</t>
  </si>
  <si>
    <t>Balance Sheets</t>
  </si>
  <si>
    <t>Fixed Assest NetBlock YOY</t>
  </si>
  <si>
    <t>Receivables Increasing</t>
  </si>
  <si>
    <t>Debtor days Increasing</t>
  </si>
  <si>
    <t>Tax QoQ &gt; Avg 3-Qtr</t>
  </si>
  <si>
    <t>OPM Growing &gt; 3 YRS AVG</t>
  </si>
  <si>
    <t>TAX YoY &gt; Avg 3 YRS</t>
  </si>
  <si>
    <t>PAT</t>
  </si>
  <si>
    <t>OPM %</t>
  </si>
  <si>
    <t>Latest</t>
  </si>
  <si>
    <t>Fixed Assest Increasing</t>
  </si>
  <si>
    <t>% Diff</t>
  </si>
  <si>
    <t>Previous</t>
  </si>
  <si>
    <t>CWIP</t>
  </si>
  <si>
    <t>Fixed Assets</t>
  </si>
  <si>
    <t>CFO / PAT</t>
  </si>
  <si>
    <t>Borrowing Decresaing</t>
  </si>
  <si>
    <t>EPS</t>
  </si>
  <si>
    <t>Sales  Quarterly</t>
  </si>
  <si>
    <t>Net Profit Quarterly</t>
  </si>
  <si>
    <t>OPM Quarterly</t>
  </si>
  <si>
    <t>Sales Yearly</t>
  </si>
  <si>
    <t>Net Profit Yearly</t>
  </si>
  <si>
    <t>OPM Yearly</t>
  </si>
  <si>
    <t>Sales Growing</t>
  </si>
  <si>
    <t>Net Profit Growing</t>
  </si>
  <si>
    <t>OPM Growing</t>
  </si>
  <si>
    <t>ROE-Average</t>
  </si>
  <si>
    <t>ROCE-Average</t>
  </si>
  <si>
    <t>By HalalStock.in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</si>
</sst>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[$-409]mmm\-yy;@"/>
    <numFmt numFmtId="166" formatCode="0.0%"/>
    <numFmt numFmtId="167" formatCode="#,##0;\ \(#,##0\)"/>
    <numFmt numFmtId="168" formatCode="0.0%;\ \(0.0%\)"/>
    <numFmt numFmtId="169" formatCode="#,##0.0\x;\ \(#,##0.0\x\)"/>
    <numFmt numFmtId="170" formatCode="0%;\ \(0%\)"/>
    <numFmt numFmtId="171" formatCode="_ * #,##0_ ;_ * \-#,##0_ ;_ * &quot;-&quot;??_ ;_ @_ "/>
    <numFmt numFmtId="172" formatCode="[$-409]m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FFFF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0666E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 applyBorder="1"/>
    <xf numFmtId="43" fontId="3" fillId="0" borderId="0" xfId="1" applyFont="1" applyBorder="1"/>
    <xf numFmtId="165" fontId="7" fillId="0" borderId="0" xfId="1" applyNumberFormat="1" applyFont="1" applyFill="1" applyBorder="1"/>
    <xf numFmtId="43" fontId="1" fillId="0" borderId="0" xfId="1" applyFont="1" applyBorder="1"/>
    <xf numFmtId="165" fontId="2" fillId="3" borderId="0" xfId="1" applyNumberFormat="1" applyFont="1" applyFill="1" applyBorder="1"/>
    <xf numFmtId="0" fontId="1" fillId="0" borderId="0" xfId="0" applyFont="1"/>
    <xf numFmtId="164" fontId="1" fillId="0" borderId="0" xfId="1" applyNumberFormat="1" applyFont="1" applyBorder="1"/>
    <xf numFmtId="0" fontId="0" fillId="0" borderId="0" xfId="0" applyFont="1"/>
    <xf numFmtId="167" fontId="0" fillId="0" borderId="0" xfId="1" applyNumberFormat="1" applyFont="1" applyAlignment="1">
      <alignment horizontal="right" indent="1"/>
    </xf>
    <xf numFmtId="0" fontId="3" fillId="0" borderId="0" xfId="0" applyFont="1"/>
    <xf numFmtId="167" fontId="3" fillId="0" borderId="0" xfId="1" applyNumberFormat="1" applyFont="1" applyAlignment="1">
      <alignment horizontal="right" indent="1"/>
    </xf>
    <xf numFmtId="167" fontId="1" fillId="0" borderId="0" xfId="1" applyNumberFormat="1" applyFont="1" applyAlignment="1">
      <alignment horizontal="right" indent="1"/>
    </xf>
    <xf numFmtId="0" fontId="3" fillId="0" borderId="9" xfId="0" applyFont="1" applyBorder="1"/>
    <xf numFmtId="168" fontId="3" fillId="0" borderId="9" xfId="0" applyNumberFormat="1" applyFont="1" applyBorder="1" applyAlignment="1">
      <alignment horizontal="left" indent="5"/>
    </xf>
    <xf numFmtId="0" fontId="0" fillId="0" borderId="9" xfId="0" applyFont="1" applyBorder="1"/>
    <xf numFmtId="168" fontId="3" fillId="0" borderId="0" xfId="0" applyNumberFormat="1" applyFont="1" applyBorder="1" applyAlignment="1">
      <alignment horizontal="left" indent="5"/>
    </xf>
    <xf numFmtId="0" fontId="0" fillId="0" borderId="0" xfId="0" applyFont="1" applyBorder="1"/>
    <xf numFmtId="169" fontId="3" fillId="0" borderId="0" xfId="1" applyNumberFormat="1" applyFont="1" applyBorder="1" applyAlignment="1">
      <alignment horizontal="right" indent="1"/>
    </xf>
    <xf numFmtId="0" fontId="3" fillId="0" borderId="10" xfId="0" applyFont="1" applyBorder="1"/>
    <xf numFmtId="0" fontId="0" fillId="0" borderId="10" xfId="0" applyFont="1" applyBorder="1"/>
    <xf numFmtId="167" fontId="1" fillId="0" borderId="0" xfId="1" applyNumberFormat="1" applyFont="1" applyBorder="1" applyAlignment="1">
      <alignment horizontal="right" indent="1"/>
    </xf>
    <xf numFmtId="167" fontId="3" fillId="0" borderId="10" xfId="1" applyNumberFormat="1" applyFont="1" applyBorder="1" applyAlignment="1">
      <alignment horizontal="right" indent="1"/>
    </xf>
    <xf numFmtId="167" fontId="0" fillId="0" borderId="9" xfId="1" applyNumberFormat="1" applyFont="1" applyBorder="1" applyAlignment="1">
      <alignment horizontal="right" indent="1"/>
    </xf>
    <xf numFmtId="167" fontId="0" fillId="0" borderId="0" xfId="1" applyNumberFormat="1" applyFont="1" applyBorder="1" applyAlignment="1">
      <alignment horizontal="right" indent="1"/>
    </xf>
    <xf numFmtId="167" fontId="1" fillId="0" borderId="10" xfId="1" applyNumberFormat="1" applyFont="1" applyBorder="1" applyAlignment="1">
      <alignment horizontal="right" indent="1"/>
    </xf>
    <xf numFmtId="169" fontId="3" fillId="0" borderId="9" xfId="1" applyNumberFormat="1" applyFont="1" applyBorder="1" applyAlignment="1">
      <alignment horizontal="right" indent="1"/>
    </xf>
    <xf numFmtId="0" fontId="0" fillId="0" borderId="0" xfId="0" applyFont="1" applyFill="1" applyBorder="1"/>
    <xf numFmtId="0" fontId="3" fillId="0" borderId="0" xfId="0" applyFont="1" applyFill="1" applyBorder="1"/>
    <xf numFmtId="0" fontId="0" fillId="0" borderId="11" xfId="0" applyFont="1" applyBorder="1"/>
    <xf numFmtId="0" fontId="3" fillId="0" borderId="8" xfId="0" applyFont="1" applyBorder="1"/>
    <xf numFmtId="168" fontId="3" fillId="0" borderId="0" xfId="0" applyNumberFormat="1" applyFont="1" applyBorder="1" applyAlignment="1">
      <alignment horizontal="right" indent="1"/>
    </xf>
    <xf numFmtId="168" fontId="3" fillId="0" borderId="8" xfId="0" applyNumberFormat="1" applyFont="1" applyBorder="1" applyAlignment="1">
      <alignment horizontal="right" indent="1"/>
    </xf>
    <xf numFmtId="165" fontId="2" fillId="3" borderId="0" xfId="0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6" fontId="1" fillId="0" borderId="0" xfId="4" applyNumberFormat="1" applyFont="1" applyBorder="1"/>
    <xf numFmtId="9" fontId="0" fillId="0" borderId="9" xfId="4" applyFont="1" applyBorder="1" applyAlignment="1">
      <alignment horizontal="right" indent="1"/>
    </xf>
    <xf numFmtId="9" fontId="0" fillId="0" borderId="0" xfId="4" applyFont="1" applyBorder="1" applyAlignment="1">
      <alignment horizontal="right" indent="1"/>
    </xf>
    <xf numFmtId="9" fontId="3" fillId="0" borderId="10" xfId="4" applyFont="1" applyBorder="1" applyAlignment="1">
      <alignment horizontal="right" indent="1"/>
    </xf>
    <xf numFmtId="9" fontId="1" fillId="0" borderId="9" xfId="4" applyFont="1" applyBorder="1" applyAlignment="1">
      <alignment horizontal="right" indent="1"/>
    </xf>
    <xf numFmtId="9" fontId="1" fillId="0" borderId="0" xfId="4" applyFont="1" applyBorder="1" applyAlignment="1">
      <alignment horizontal="right" indent="1"/>
    </xf>
    <xf numFmtId="9" fontId="3" fillId="0" borderId="0" xfId="4" applyFont="1" applyBorder="1" applyAlignment="1">
      <alignment horizontal="right" indent="1"/>
    </xf>
    <xf numFmtId="9" fontId="0" fillId="0" borderId="0" xfId="4" applyNumberFormat="1" applyFont="1" applyBorder="1" applyAlignment="1">
      <alignment horizontal="right" indent="1"/>
    </xf>
    <xf numFmtId="9" fontId="3" fillId="0" borderId="0" xfId="4" applyNumberFormat="1" applyFont="1" applyBorder="1" applyAlignment="1">
      <alignment horizontal="right" indent="1"/>
    </xf>
    <xf numFmtId="9" fontId="0" fillId="0" borderId="10" xfId="4" applyFont="1" applyBorder="1" applyAlignment="1">
      <alignment horizontal="right" indent="1"/>
    </xf>
    <xf numFmtId="0" fontId="0" fillId="0" borderId="0" xfId="0" applyFont="1" applyAlignment="1">
      <alignment horizontal="left"/>
    </xf>
    <xf numFmtId="9" fontId="3" fillId="0" borderId="0" xfId="4" applyFont="1" applyAlignment="1">
      <alignment horizontal="right" indent="1"/>
    </xf>
    <xf numFmtId="9" fontId="0" fillId="0" borderId="0" xfId="4" applyFont="1" applyAlignment="1">
      <alignment horizontal="right" indent="1"/>
    </xf>
    <xf numFmtId="170" fontId="0" fillId="0" borderId="0" xfId="4" applyNumberFormat="1" applyFont="1" applyAlignment="1">
      <alignment horizontal="right" indent="1"/>
    </xf>
    <xf numFmtId="166" fontId="3" fillId="0" borderId="8" xfId="0" applyNumberFormat="1" applyFont="1" applyBorder="1" applyAlignment="1">
      <alignment horizontal="right" indent="1"/>
    </xf>
    <xf numFmtId="43" fontId="6" fillId="6" borderId="1" xfId="0" applyNumberFormat="1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165" fontId="6" fillId="6" borderId="2" xfId="0" applyNumberFormat="1" applyFont="1" applyFill="1" applyBorder="1" applyAlignment="1">
      <alignment horizontal="right" vertical="center" indent="1"/>
    </xf>
    <xf numFmtId="166" fontId="6" fillId="6" borderId="3" xfId="0" applyNumberFormat="1" applyFont="1" applyFill="1" applyBorder="1" applyAlignment="1">
      <alignment horizontal="right" vertical="center" indent="1"/>
    </xf>
    <xf numFmtId="0" fontId="6" fillId="6" borderId="12" xfId="0" applyFont="1" applyFill="1" applyBorder="1" applyAlignment="1">
      <alignment vertical="center"/>
    </xf>
    <xf numFmtId="165" fontId="6" fillId="6" borderId="12" xfId="0" applyNumberFormat="1" applyFont="1" applyFill="1" applyBorder="1" applyAlignment="1">
      <alignment horizontal="right" vertical="center" indent="1"/>
    </xf>
    <xf numFmtId="0" fontId="3" fillId="0" borderId="0" xfId="0" applyFont="1" applyFill="1"/>
    <xf numFmtId="167" fontId="3" fillId="0" borderId="0" xfId="1" applyNumberFormat="1" applyFont="1" applyFill="1" applyAlignment="1">
      <alignment horizontal="right" indent="1"/>
    </xf>
    <xf numFmtId="167" fontId="0" fillId="8" borderId="0" xfId="1" applyNumberFormat="1" applyFont="1" applyFill="1" applyAlignment="1">
      <alignment horizontal="right" indent="1"/>
    </xf>
    <xf numFmtId="167" fontId="3" fillId="8" borderId="0" xfId="1" applyNumberFormat="1" applyFont="1" applyFill="1" applyAlignment="1">
      <alignment horizontal="right" indent="1"/>
    </xf>
    <xf numFmtId="0" fontId="3" fillId="8" borderId="0" xfId="0" applyFont="1" applyFill="1"/>
    <xf numFmtId="0" fontId="0" fillId="8" borderId="9" xfId="0" applyFont="1" applyFill="1" applyBorder="1"/>
    <xf numFmtId="0" fontId="0" fillId="8" borderId="0" xfId="0" applyFont="1" applyFill="1" applyBorder="1"/>
    <xf numFmtId="0" fontId="3" fillId="8" borderId="0" xfId="0" applyFont="1" applyFill="1" applyBorder="1"/>
    <xf numFmtId="167" fontId="3" fillId="8" borderId="0" xfId="1" applyNumberFormat="1" applyFont="1" applyFill="1" applyBorder="1" applyAlignment="1">
      <alignment horizontal="right" indent="1"/>
    </xf>
    <xf numFmtId="167" fontId="0" fillId="0" borderId="0" xfId="1" applyNumberFormat="1" applyFont="1" applyFill="1" applyAlignment="1">
      <alignment horizontal="right" indent="1"/>
    </xf>
    <xf numFmtId="167" fontId="1" fillId="0" borderId="0" xfId="1" applyNumberFormat="1" applyFont="1" applyFill="1" applyAlignment="1">
      <alignment horizontal="right" indent="1"/>
    </xf>
    <xf numFmtId="167" fontId="1" fillId="0" borderId="11" xfId="1" applyNumberFormat="1" applyFont="1" applyFill="1" applyBorder="1" applyAlignment="1">
      <alignment horizontal="right" indent="1"/>
    </xf>
    <xf numFmtId="0" fontId="0" fillId="0" borderId="0" xfId="0" applyFont="1" applyFill="1"/>
    <xf numFmtId="168" fontId="3" fillId="0" borderId="0" xfId="0" applyNumberFormat="1" applyFont="1" applyFill="1" applyBorder="1" applyAlignment="1">
      <alignment horizontal="right" indent="1"/>
    </xf>
    <xf numFmtId="169" fontId="3" fillId="0" borderId="0" xfId="1" applyNumberFormat="1" applyFont="1" applyFill="1" applyBorder="1" applyAlignment="1">
      <alignment horizontal="right" indent="1"/>
    </xf>
    <xf numFmtId="169" fontId="3" fillId="0" borderId="10" xfId="1" applyNumberFormat="1" applyFont="1" applyFill="1" applyBorder="1" applyAlignment="1">
      <alignment horizontal="right" indent="1"/>
    </xf>
    <xf numFmtId="165" fontId="6" fillId="9" borderId="2" xfId="0" applyNumberFormat="1" applyFont="1" applyFill="1" applyBorder="1" applyAlignment="1">
      <alignment horizontal="right" vertical="center" indent="1"/>
    </xf>
    <xf numFmtId="0" fontId="3" fillId="8" borderId="10" xfId="0" applyFont="1" applyFill="1" applyBorder="1"/>
    <xf numFmtId="0" fontId="0" fillId="8" borderId="10" xfId="0" applyFont="1" applyFill="1" applyBorder="1"/>
    <xf numFmtId="168" fontId="3" fillId="8" borderId="10" xfId="0" applyNumberFormat="1" applyFont="1" applyFill="1" applyBorder="1" applyAlignment="1">
      <alignment horizontal="right" indent="1"/>
    </xf>
    <xf numFmtId="43" fontId="6" fillId="6" borderId="1" xfId="0" applyNumberFormat="1" applyFont="1" applyFill="1" applyBorder="1" applyAlignment="1">
      <alignment vertical="center" wrapText="1"/>
    </xf>
    <xf numFmtId="168" fontId="3" fillId="8" borderId="9" xfId="0" applyNumberFormat="1" applyFont="1" applyFill="1" applyBorder="1" applyAlignment="1">
      <alignment horizontal="right" indent="1"/>
    </xf>
    <xf numFmtId="168" fontId="3" fillId="8" borderId="0" xfId="0" applyNumberFormat="1" applyFont="1" applyFill="1" applyBorder="1" applyAlignment="1">
      <alignment horizontal="right" indent="1"/>
    </xf>
    <xf numFmtId="0" fontId="0" fillId="8" borderId="0" xfId="0" applyFont="1" applyFill="1"/>
    <xf numFmtId="0" fontId="0" fillId="0" borderId="0" xfId="0" applyFont="1" applyAlignment="1">
      <alignment horizontal="center"/>
    </xf>
    <xf numFmtId="0" fontId="0" fillId="10" borderId="0" xfId="0" applyFont="1" applyFill="1" applyAlignment="1">
      <alignment horizontal="center"/>
    </xf>
    <xf numFmtId="0" fontId="0" fillId="10" borderId="0" xfId="0" applyFont="1" applyFill="1" applyBorder="1" applyAlignment="1">
      <alignment horizontal="center"/>
    </xf>
    <xf numFmtId="0" fontId="10" fillId="8" borderId="12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7" fontId="1" fillId="8" borderId="0" xfId="1" applyNumberFormat="1" applyFont="1" applyFill="1" applyAlignment="1">
      <alignment horizontal="right" indent="1"/>
    </xf>
    <xf numFmtId="167" fontId="1" fillId="8" borderId="11" xfId="1" applyNumberFormat="1" applyFont="1" applyFill="1" applyBorder="1" applyAlignment="1">
      <alignment horizontal="right" indent="1"/>
    </xf>
    <xf numFmtId="169" fontId="3" fillId="8" borderId="0" xfId="1" applyNumberFormat="1" applyFont="1" applyFill="1" applyBorder="1" applyAlignment="1">
      <alignment horizontal="right" indent="1"/>
    </xf>
    <xf numFmtId="169" fontId="3" fillId="8" borderId="10" xfId="1" applyNumberFormat="1" applyFont="1" applyFill="1" applyBorder="1" applyAlignment="1">
      <alignment horizontal="right" indent="1"/>
    </xf>
    <xf numFmtId="0" fontId="11" fillId="8" borderId="12" xfId="0" applyFont="1" applyFill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11" fillId="0" borderId="12" xfId="0" applyFont="1" applyFill="1" applyBorder="1" applyAlignment="1">
      <alignment wrapText="1"/>
    </xf>
    <xf numFmtId="0" fontId="11" fillId="0" borderId="12" xfId="0" applyFont="1" applyBorder="1"/>
    <xf numFmtId="0" fontId="6" fillId="10" borderId="0" xfId="0" applyFont="1" applyFill="1" applyAlignment="1">
      <alignment wrapText="1"/>
    </xf>
    <xf numFmtId="0" fontId="6" fillId="10" borderId="0" xfId="0" applyFont="1" applyFill="1" applyBorder="1" applyAlignment="1">
      <alignment wrapText="1"/>
    </xf>
    <xf numFmtId="0" fontId="12" fillId="10" borderId="0" xfId="0" applyFont="1" applyFill="1" applyAlignment="1">
      <alignment wrapText="1"/>
    </xf>
    <xf numFmtId="0" fontId="13" fillId="0" borderId="12" xfId="0" applyFont="1" applyBorder="1" applyAlignment="1">
      <alignment horizontal="center"/>
    </xf>
    <xf numFmtId="0" fontId="13" fillId="8" borderId="1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" fillId="8" borderId="9" xfId="0" applyFont="1" applyFill="1" applyBorder="1"/>
    <xf numFmtId="0" fontId="12" fillId="8" borderId="12" xfId="0" applyFont="1" applyFill="1" applyBorder="1" applyAlignment="1">
      <alignment vertical="center" wrapText="1"/>
    </xf>
    <xf numFmtId="3" fontId="14" fillId="8" borderId="12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/>
    <xf numFmtId="3" fontId="0" fillId="0" borderId="12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2" fontId="14" fillId="0" borderId="1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11" borderId="0" xfId="0" applyFont="1" applyFill="1" applyAlignment="1">
      <alignment wrapText="1"/>
    </xf>
    <xf numFmtId="0" fontId="0" fillId="11" borderId="0" xfId="0" applyFont="1" applyFill="1" applyAlignment="1">
      <alignment horizontal="center"/>
    </xf>
    <xf numFmtId="2" fontId="0" fillId="0" borderId="0" xfId="4" applyNumberFormat="1" applyFont="1"/>
    <xf numFmtId="167" fontId="0" fillId="0" borderId="0" xfId="0" applyNumberFormat="1" applyFont="1"/>
    <xf numFmtId="0" fontId="1" fillId="0" borderId="0" xfId="0" applyFont="1" applyFill="1"/>
    <xf numFmtId="3" fontId="0" fillId="0" borderId="0" xfId="0" applyNumberFormat="1" applyFont="1"/>
    <xf numFmtId="3" fontId="0" fillId="0" borderId="0" xfId="0" applyNumberFormat="1" applyFont="1" applyAlignment="1">
      <alignment horizontal="center"/>
    </xf>
    <xf numFmtId="14" fontId="0" fillId="0" borderId="0" xfId="0" applyNumberFormat="1" applyFont="1"/>
    <xf numFmtId="166" fontId="3" fillId="0" borderId="12" xfId="4" applyNumberFormat="1" applyFont="1" applyBorder="1" applyAlignment="1">
      <alignment horizontal="center"/>
    </xf>
    <xf numFmtId="166" fontId="14" fillId="0" borderId="12" xfId="4" applyNumberFormat="1" applyFont="1" applyBorder="1" applyAlignment="1">
      <alignment horizontal="center"/>
    </xf>
    <xf numFmtId="2" fontId="0" fillId="0" borderId="0" xfId="0" applyNumberFormat="1" applyFont="1"/>
    <xf numFmtId="4" fontId="3" fillId="8" borderId="0" xfId="1" applyNumberFormat="1" applyFont="1" applyFill="1" applyAlignment="1">
      <alignment horizontal="right" indent="1"/>
    </xf>
    <xf numFmtId="4" fontId="0" fillId="0" borderId="12" xfId="0" applyNumberFormat="1" applyFont="1" applyBorder="1" applyAlignment="1">
      <alignment horizontal="center"/>
    </xf>
    <xf numFmtId="166" fontId="0" fillId="0" borderId="12" xfId="4" applyNumberFormat="1" applyFont="1" applyBorder="1" applyAlignment="1">
      <alignment horizontal="center"/>
    </xf>
    <xf numFmtId="167" fontId="3" fillId="0" borderId="12" xfId="1" applyNumberFormat="1" applyFont="1" applyFill="1" applyBorder="1" applyAlignment="1">
      <alignment horizontal="right" indent="1"/>
    </xf>
    <xf numFmtId="168" fontId="3" fillId="0" borderId="12" xfId="0" applyNumberFormat="1" applyFont="1" applyFill="1" applyBorder="1" applyAlignment="1">
      <alignment horizontal="right" indent="1"/>
    </xf>
    <xf numFmtId="0" fontId="3" fillId="0" borderId="14" xfId="0" applyFont="1" applyFill="1" applyBorder="1" applyAlignment="1">
      <alignment horizontal="left" indent="1"/>
    </xf>
    <xf numFmtId="0" fontId="3" fillId="8" borderId="0" xfId="0" applyFont="1" applyFill="1" applyAlignment="1">
      <alignment horizontal="left" indent="1"/>
    </xf>
    <xf numFmtId="4" fontId="3" fillId="8" borderId="12" xfId="1" applyNumberFormat="1" applyFont="1" applyFill="1" applyBorder="1" applyAlignment="1">
      <alignment horizontal="right" indent="1"/>
    </xf>
    <xf numFmtId="0" fontId="3" fillId="0" borderId="12" xfId="0" applyFont="1" applyFill="1" applyBorder="1" applyAlignment="1"/>
    <xf numFmtId="172" fontId="4" fillId="11" borderId="0" xfId="0" applyNumberFormat="1" applyFont="1" applyFill="1" applyAlignment="1">
      <alignment horizontal="center"/>
    </xf>
    <xf numFmtId="0" fontId="0" fillId="0" borderId="14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0" fillId="0" borderId="15" xfId="0" applyFont="1" applyBorder="1" applyAlignment="1">
      <alignment horizontal="right" indent="1"/>
    </xf>
    <xf numFmtId="4" fontId="15" fillId="10" borderId="0" xfId="0" applyNumberFormat="1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9" fillId="7" borderId="4" xfId="0" applyNumberFormat="1" applyFont="1" applyFill="1" applyBorder="1" applyAlignment="1">
      <alignment horizontal="left" vertical="center" indent="2"/>
    </xf>
    <xf numFmtId="171" fontId="9" fillId="7" borderId="5" xfId="0" applyNumberFormat="1" applyFont="1" applyFill="1" applyBorder="1" applyAlignment="1">
      <alignment horizontal="left" vertical="center" indent="2"/>
    </xf>
    <xf numFmtId="43" fontId="9" fillId="7" borderId="4" xfId="0" applyNumberFormat="1" applyFont="1" applyFill="1" applyBorder="1" applyAlignment="1">
      <alignment horizontal="left" vertical="center" indent="9"/>
    </xf>
    <xf numFmtId="0" fontId="9" fillId="7" borderId="5" xfId="0" applyFont="1" applyFill="1" applyBorder="1" applyAlignment="1">
      <alignment horizontal="left" vertical="center" indent="9"/>
    </xf>
    <xf numFmtId="0" fontId="9" fillId="7" borderId="6" xfId="0" applyFont="1" applyFill="1" applyBorder="1" applyAlignment="1">
      <alignment horizontal="left" vertical="center" indent="9"/>
    </xf>
    <xf numFmtId="43" fontId="6" fillId="5" borderId="4" xfId="0" applyNumberFormat="1" applyFont="1" applyFill="1" applyBorder="1" applyAlignment="1">
      <alignment horizontal="center" vertical="center"/>
    </xf>
    <xf numFmtId="43" fontId="6" fillId="5" borderId="5" xfId="0" applyNumberFormat="1" applyFont="1" applyFill="1" applyBorder="1" applyAlignment="1">
      <alignment horizontal="center" vertical="center"/>
    </xf>
    <xf numFmtId="43" fontId="6" fillId="5" borderId="6" xfId="0" applyNumberFormat="1" applyFont="1" applyFill="1" applyBorder="1" applyAlignment="1">
      <alignment horizontal="center" vertical="center"/>
    </xf>
    <xf numFmtId="43" fontId="9" fillId="7" borderId="4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vertical="center"/>
    </xf>
    <xf numFmtId="43" fontId="8" fillId="0" borderId="0" xfId="3" applyNumberFormat="1" applyFont="1" applyBorder="1" applyAlignment="1" applyProtection="1">
      <alignment horizontal="center"/>
    </xf>
    <xf numFmtId="43" fontId="2" fillId="4" borderId="0" xfId="2" applyNumberFormat="1" applyFont="1" applyFill="1" applyBorder="1" applyAlignment="1">
      <alignment horizontal="center"/>
    </xf>
    <xf numFmtId="0" fontId="5" fillId="0" borderId="0" xfId="3" applyAlignment="1" applyProtection="1">
      <alignment horizontal="center"/>
    </xf>
  </cellXfs>
  <cellStyles count="5">
    <cellStyle name="Accent6" xfId="2" builtinId="49"/>
    <cellStyle name="Comma" xfId="1" builtinId="3"/>
    <cellStyle name="Hyperlink" xfId="3" builtinId="8"/>
    <cellStyle name="Normal" xfId="0" builtinId="0"/>
    <cellStyle name="Percent" xfId="4" builtinId="5"/>
  </cellStyles>
  <dxfs count="81">
    <dxf>
      <font>
        <b/>
        <i val="0"/>
        <color theme="0"/>
      </font>
      <fill>
        <patternFill>
          <bgColor theme="5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ill>
        <patternFill>
          <bgColor theme="9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rgb="FFFF5050"/>
        </patternFill>
      </fill>
    </dxf>
    <dxf>
      <fill>
        <patternFill>
          <bgColor theme="9"/>
        </patternFill>
      </fill>
    </dxf>
    <dxf>
      <fill>
        <patternFill>
          <bgColor rgb="FFFF5050"/>
        </patternFill>
      </fill>
    </dxf>
    <dxf>
      <fill>
        <patternFill>
          <bgColor theme="9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5050"/>
        </patternFill>
      </fill>
    </dxf>
    <dxf>
      <fill>
        <patternFill>
          <bgColor theme="9"/>
        </patternFill>
      </fill>
    </dxf>
    <dxf>
      <fill>
        <patternFill>
          <bgColor rgb="FFFF5050"/>
        </patternFill>
      </fill>
    </dxf>
    <dxf>
      <fill>
        <patternFill>
          <bgColor theme="9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9"/>
        </patternFill>
      </fill>
    </dxf>
    <dxf>
      <fill>
        <patternFill>
          <bgColor rgb="FFFF5050"/>
        </patternFill>
      </fill>
    </dxf>
    <dxf>
      <fill>
        <patternFill>
          <bgColor theme="9"/>
        </patternFill>
      </fill>
    </dxf>
    <dxf>
      <fill>
        <patternFill>
          <bgColor rgb="FFFF5050"/>
        </patternFill>
      </fill>
    </dxf>
    <dxf>
      <fill>
        <patternFill>
          <bgColor theme="9"/>
        </patternFill>
      </fill>
    </dxf>
    <dxf>
      <fill>
        <patternFill>
          <bgColor rgb="FFFF505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5050"/>
      <color rgb="FFFFFFB9"/>
      <color rgb="FF0666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/>
              <a:t>Quarterly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737582802149732E-2"/>
          <c:y val="0.1062801311074755"/>
          <c:w val="0.81569943757030372"/>
          <c:h val="0.66427231041614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QTR!$A$3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AB-4066-B460-EB92AAAD49B1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2AB-4066-B460-EB92AAAD49B1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2AB-4066-B460-EB92AAAD49B1}"/>
              </c:ext>
            </c:extLst>
          </c:dPt>
          <c:cat>
            <c:numRef>
              <c:f>QTR!$B$2:$K$2</c:f>
              <c:numCache>
                <c:formatCode>[$-409]mmm\-yy;@</c:formatCode>
                <c:ptCount val="10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  <c:pt idx="6">
                  <c:v>45382</c:v>
                </c:pt>
                <c:pt idx="7">
                  <c:v>45473</c:v>
                </c:pt>
                <c:pt idx="8">
                  <c:v>45565</c:v>
                </c:pt>
                <c:pt idx="9">
                  <c:v>45657</c:v>
                </c:pt>
              </c:numCache>
            </c:numRef>
          </c:cat>
          <c:val>
            <c:numRef>
              <c:f>QTR!$B$3:$K$3</c:f>
              <c:numCache>
                <c:formatCode>#,##0;\ \(#,##0\)</c:formatCode>
                <c:ptCount val="10"/>
                <c:pt idx="0">
                  <c:v>3234.88</c:v>
                </c:pt>
                <c:pt idx="1">
                  <c:v>3938.92</c:v>
                </c:pt>
                <c:pt idx="2">
                  <c:v>4084.33</c:v>
                </c:pt>
                <c:pt idx="3">
                  <c:v>3767.09</c:v>
                </c:pt>
                <c:pt idx="4">
                  <c:v>3925.46</c:v>
                </c:pt>
                <c:pt idx="5">
                  <c:v>4008.53</c:v>
                </c:pt>
                <c:pt idx="6">
                  <c:v>4455.1099999999997</c:v>
                </c:pt>
                <c:pt idx="7">
                  <c:v>4010.52</c:v>
                </c:pt>
                <c:pt idx="8">
                  <c:v>4644.51</c:v>
                </c:pt>
                <c:pt idx="9">
                  <c:v>4716.42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A-42B4-BC6C-E79FD5633F84}"/>
            </c:ext>
          </c:extLst>
        </c:ser>
        <c:ser>
          <c:idx val="8"/>
          <c:order val="8"/>
          <c:tx>
            <c:strRef>
              <c:f>QTR!$A$11</c:f>
              <c:strCache>
                <c:ptCount val="1"/>
                <c:pt idx="0">
                  <c:v>PAT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QTR!$B$2:$K$2</c:f>
              <c:numCache>
                <c:formatCode>[$-409]mmm\-yy;@</c:formatCode>
                <c:ptCount val="10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  <c:pt idx="6">
                  <c:v>45382</c:v>
                </c:pt>
                <c:pt idx="7">
                  <c:v>45473</c:v>
                </c:pt>
                <c:pt idx="8">
                  <c:v>45565</c:v>
                </c:pt>
                <c:pt idx="9">
                  <c:v>45657</c:v>
                </c:pt>
              </c:numCache>
            </c:numRef>
          </c:cat>
          <c:val>
            <c:numRef>
              <c:f>QTR!$B$11:$K$11</c:f>
              <c:numCache>
                <c:formatCode>#,##0;\ \(#,##0\)</c:formatCode>
                <c:ptCount val="10"/>
                <c:pt idx="0">
                  <c:v>102.62999999999997</c:v>
                </c:pt>
                <c:pt idx="1">
                  <c:v>169.90000000000006</c:v>
                </c:pt>
                <c:pt idx="2">
                  <c:v>242.73000000000005</c:v>
                </c:pt>
                <c:pt idx="3">
                  <c:v>197.42999999999998</c:v>
                </c:pt>
                <c:pt idx="4">
                  <c:v>173.88</c:v>
                </c:pt>
                <c:pt idx="5">
                  <c:v>217.57</c:v>
                </c:pt>
                <c:pt idx="6">
                  <c:v>236.22</c:v>
                </c:pt>
                <c:pt idx="7">
                  <c:v>202.54</c:v>
                </c:pt>
                <c:pt idx="8">
                  <c:v>193.88000000000002</c:v>
                </c:pt>
                <c:pt idx="9">
                  <c:v>174.92000000000002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3A-42B4-BC6C-E79FD5633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9089928"/>
        <c:axId val="6390882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QTR!$A$4</c15:sqref>
                        </c15:formulaRef>
                      </c:ext>
                    </c:extLst>
                    <c:strCache>
                      <c:ptCount val="1"/>
                      <c:pt idx="0">
                        <c:v>Operating Profit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QTR!$B$2:$K$2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44834</c:v>
                      </c:pt>
                      <c:pt idx="1">
                        <c:v>44926</c:v>
                      </c:pt>
                      <c:pt idx="2">
                        <c:v>45016</c:v>
                      </c:pt>
                      <c:pt idx="3">
                        <c:v>45107</c:v>
                      </c:pt>
                      <c:pt idx="4">
                        <c:v>45199</c:v>
                      </c:pt>
                      <c:pt idx="5">
                        <c:v>45291</c:v>
                      </c:pt>
                      <c:pt idx="6">
                        <c:v>45382</c:v>
                      </c:pt>
                      <c:pt idx="7">
                        <c:v>45473</c:v>
                      </c:pt>
                      <c:pt idx="8">
                        <c:v>45565</c:v>
                      </c:pt>
                      <c:pt idx="9">
                        <c:v>45657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QTR!$B$4:$K$4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225.88</c:v>
                      </c:pt>
                      <c:pt idx="1">
                        <c:v>343.22</c:v>
                      </c:pt>
                      <c:pt idx="2">
                        <c:v>423.89</c:v>
                      </c:pt>
                      <c:pt idx="3">
                        <c:v>346.12</c:v>
                      </c:pt>
                      <c:pt idx="4">
                        <c:v>349.26</c:v>
                      </c:pt>
                      <c:pt idx="5">
                        <c:v>404.96</c:v>
                      </c:pt>
                      <c:pt idx="6">
                        <c:v>426.71</c:v>
                      </c:pt>
                      <c:pt idx="7">
                        <c:v>375.63</c:v>
                      </c:pt>
                      <c:pt idx="8">
                        <c:v>356.54</c:v>
                      </c:pt>
                      <c:pt idx="9">
                        <c:v>356.02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93A-42B4-BC6C-E79FD5633F8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QTR!$A$5</c15:sqref>
                        </c15:formulaRef>
                      </c:ext>
                    </c:extLst>
                    <c:strCache>
                      <c:ptCount val="1"/>
                      <c:pt idx="0">
                        <c:v>Other Income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44834</c:v>
                      </c:pt>
                      <c:pt idx="1">
                        <c:v>44926</c:v>
                      </c:pt>
                      <c:pt idx="2">
                        <c:v>45016</c:v>
                      </c:pt>
                      <c:pt idx="3">
                        <c:v>45107</c:v>
                      </c:pt>
                      <c:pt idx="4">
                        <c:v>45199</c:v>
                      </c:pt>
                      <c:pt idx="5">
                        <c:v>45291</c:v>
                      </c:pt>
                      <c:pt idx="6">
                        <c:v>45382</c:v>
                      </c:pt>
                      <c:pt idx="7">
                        <c:v>45473</c:v>
                      </c:pt>
                      <c:pt idx="8">
                        <c:v>45565</c:v>
                      </c:pt>
                      <c:pt idx="9">
                        <c:v>45657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QTR!$B$5:$K$5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12.22</c:v>
                      </c:pt>
                      <c:pt idx="1">
                        <c:v>6.63</c:v>
                      </c:pt>
                      <c:pt idx="2">
                        <c:v>10.68</c:v>
                      </c:pt>
                      <c:pt idx="3">
                        <c:v>13.86</c:v>
                      </c:pt>
                      <c:pt idx="4">
                        <c:v>18.760000000000002</c:v>
                      </c:pt>
                      <c:pt idx="5">
                        <c:v>21</c:v>
                      </c:pt>
                      <c:pt idx="6">
                        <c:v>27.46</c:v>
                      </c:pt>
                      <c:pt idx="7">
                        <c:v>16.22</c:v>
                      </c:pt>
                      <c:pt idx="8">
                        <c:v>32.81</c:v>
                      </c:pt>
                      <c:pt idx="9">
                        <c:v>34.18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93A-42B4-BC6C-E79FD5633F8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QTR!$A$6</c15:sqref>
                        </c15:formulaRef>
                      </c:ext>
                    </c:extLst>
                    <c:strCache>
                      <c:ptCount val="1"/>
                      <c:pt idx="0">
                        <c:v>EBITDA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44834</c:v>
                      </c:pt>
                      <c:pt idx="1">
                        <c:v>44926</c:v>
                      </c:pt>
                      <c:pt idx="2">
                        <c:v>45016</c:v>
                      </c:pt>
                      <c:pt idx="3">
                        <c:v>45107</c:v>
                      </c:pt>
                      <c:pt idx="4">
                        <c:v>45199</c:v>
                      </c:pt>
                      <c:pt idx="5">
                        <c:v>45291</c:v>
                      </c:pt>
                      <c:pt idx="6">
                        <c:v>45382</c:v>
                      </c:pt>
                      <c:pt idx="7">
                        <c:v>45473</c:v>
                      </c:pt>
                      <c:pt idx="8">
                        <c:v>45565</c:v>
                      </c:pt>
                      <c:pt idx="9">
                        <c:v>45657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QTR!$B$6:$K$6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238.1</c:v>
                      </c:pt>
                      <c:pt idx="1">
                        <c:v>349.85</c:v>
                      </c:pt>
                      <c:pt idx="2">
                        <c:v>434.57</c:v>
                      </c:pt>
                      <c:pt idx="3">
                        <c:v>359.98</c:v>
                      </c:pt>
                      <c:pt idx="4">
                        <c:v>368.02</c:v>
                      </c:pt>
                      <c:pt idx="5">
                        <c:v>425.96</c:v>
                      </c:pt>
                      <c:pt idx="6">
                        <c:v>454.16999999999996</c:v>
                      </c:pt>
                      <c:pt idx="7">
                        <c:v>391.85</c:v>
                      </c:pt>
                      <c:pt idx="8">
                        <c:v>389.35</c:v>
                      </c:pt>
                      <c:pt idx="9">
                        <c:v>390.2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93A-42B4-BC6C-E79FD5633F8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QTR!$A$7</c15:sqref>
                        </c15:formulaRef>
                      </c:ext>
                    </c:extLst>
                    <c:strCache>
                      <c:ptCount val="1"/>
                      <c:pt idx="0">
                        <c:v>Interest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44834</c:v>
                      </c:pt>
                      <c:pt idx="1">
                        <c:v>44926</c:v>
                      </c:pt>
                      <c:pt idx="2">
                        <c:v>45016</c:v>
                      </c:pt>
                      <c:pt idx="3">
                        <c:v>45107</c:v>
                      </c:pt>
                      <c:pt idx="4">
                        <c:v>45199</c:v>
                      </c:pt>
                      <c:pt idx="5">
                        <c:v>45291</c:v>
                      </c:pt>
                      <c:pt idx="6">
                        <c:v>45382</c:v>
                      </c:pt>
                      <c:pt idx="7">
                        <c:v>45473</c:v>
                      </c:pt>
                      <c:pt idx="8">
                        <c:v>45565</c:v>
                      </c:pt>
                      <c:pt idx="9">
                        <c:v>45657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QTR!$B$7:$K$7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-71.14</c:v>
                      </c:pt>
                      <c:pt idx="1">
                        <c:v>-93.96</c:v>
                      </c:pt>
                      <c:pt idx="2">
                        <c:v>-79.09</c:v>
                      </c:pt>
                      <c:pt idx="3">
                        <c:v>-69.599999999999994</c:v>
                      </c:pt>
                      <c:pt idx="4">
                        <c:v>-103.08</c:v>
                      </c:pt>
                      <c:pt idx="5">
                        <c:v>-112.82</c:v>
                      </c:pt>
                      <c:pt idx="6">
                        <c:v>-101.08</c:v>
                      </c:pt>
                      <c:pt idx="7">
                        <c:v>-90.35</c:v>
                      </c:pt>
                      <c:pt idx="8">
                        <c:v>-100.56</c:v>
                      </c:pt>
                      <c:pt idx="9">
                        <c:v>-118.35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93A-42B4-BC6C-E79FD5633F8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QTR!$A$8</c15:sqref>
                        </c15:formulaRef>
                      </c:ext>
                    </c:extLst>
                    <c:strCache>
                      <c:ptCount val="1"/>
                      <c:pt idx="0">
                        <c:v>Depreciation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44834</c:v>
                      </c:pt>
                      <c:pt idx="1">
                        <c:v>44926</c:v>
                      </c:pt>
                      <c:pt idx="2">
                        <c:v>45016</c:v>
                      </c:pt>
                      <c:pt idx="3">
                        <c:v>45107</c:v>
                      </c:pt>
                      <c:pt idx="4">
                        <c:v>45199</c:v>
                      </c:pt>
                      <c:pt idx="5">
                        <c:v>45291</c:v>
                      </c:pt>
                      <c:pt idx="6">
                        <c:v>45382</c:v>
                      </c:pt>
                      <c:pt idx="7">
                        <c:v>45473</c:v>
                      </c:pt>
                      <c:pt idx="8">
                        <c:v>45565</c:v>
                      </c:pt>
                      <c:pt idx="9">
                        <c:v>45657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QTR!$B$8:$K$8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-26.05</c:v>
                      </c:pt>
                      <c:pt idx="1">
                        <c:v>-26.08</c:v>
                      </c:pt>
                      <c:pt idx="2">
                        <c:v>-27.28</c:v>
                      </c:pt>
                      <c:pt idx="3">
                        <c:v>-27.23</c:v>
                      </c:pt>
                      <c:pt idx="4">
                        <c:v>-28.17</c:v>
                      </c:pt>
                      <c:pt idx="5">
                        <c:v>-28.84</c:v>
                      </c:pt>
                      <c:pt idx="6">
                        <c:v>-31.47</c:v>
                      </c:pt>
                      <c:pt idx="7">
                        <c:v>-31.11</c:v>
                      </c:pt>
                      <c:pt idx="8">
                        <c:v>-32.06</c:v>
                      </c:pt>
                      <c:pt idx="9">
                        <c:v>-33.369999999999997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93A-42B4-BC6C-E79FD5633F8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QTR!$A$9</c15:sqref>
                        </c15:formulaRef>
                      </c:ext>
                    </c:extLst>
                    <c:strCache>
                      <c:ptCount val="1"/>
                      <c:pt idx="0">
                        <c:v>Profit before tax (PBT)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44834</c:v>
                      </c:pt>
                      <c:pt idx="1">
                        <c:v>44926</c:v>
                      </c:pt>
                      <c:pt idx="2">
                        <c:v>45016</c:v>
                      </c:pt>
                      <c:pt idx="3">
                        <c:v>45107</c:v>
                      </c:pt>
                      <c:pt idx="4">
                        <c:v>45199</c:v>
                      </c:pt>
                      <c:pt idx="5">
                        <c:v>45291</c:v>
                      </c:pt>
                      <c:pt idx="6">
                        <c:v>45382</c:v>
                      </c:pt>
                      <c:pt idx="7">
                        <c:v>45473</c:v>
                      </c:pt>
                      <c:pt idx="8">
                        <c:v>45565</c:v>
                      </c:pt>
                      <c:pt idx="9">
                        <c:v>45657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QTR!$B$9:$K$9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140.90999999999997</c:v>
                      </c:pt>
                      <c:pt idx="1">
                        <c:v>229.81000000000006</c:v>
                      </c:pt>
                      <c:pt idx="2">
                        <c:v>328.20000000000005</c:v>
                      </c:pt>
                      <c:pt idx="3">
                        <c:v>263.14999999999998</c:v>
                      </c:pt>
                      <c:pt idx="4">
                        <c:v>236.76999999999998</c:v>
                      </c:pt>
                      <c:pt idx="5">
                        <c:v>284.3</c:v>
                      </c:pt>
                      <c:pt idx="6">
                        <c:v>321.62</c:v>
                      </c:pt>
                      <c:pt idx="7">
                        <c:v>270.39</c:v>
                      </c:pt>
                      <c:pt idx="8">
                        <c:v>256.73</c:v>
                      </c:pt>
                      <c:pt idx="9">
                        <c:v>238.48000000000002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93A-42B4-BC6C-E79FD5633F84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QTR!$A$10</c15:sqref>
                        </c15:formulaRef>
                      </c:ext>
                    </c:extLst>
                    <c:strCache>
                      <c:ptCount val="1"/>
                      <c:pt idx="0">
                        <c:v>Tax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44834</c:v>
                      </c:pt>
                      <c:pt idx="1">
                        <c:v>44926</c:v>
                      </c:pt>
                      <c:pt idx="2">
                        <c:v>45016</c:v>
                      </c:pt>
                      <c:pt idx="3">
                        <c:v>45107</c:v>
                      </c:pt>
                      <c:pt idx="4">
                        <c:v>45199</c:v>
                      </c:pt>
                      <c:pt idx="5">
                        <c:v>45291</c:v>
                      </c:pt>
                      <c:pt idx="6">
                        <c:v>45382</c:v>
                      </c:pt>
                      <c:pt idx="7">
                        <c:v>45473</c:v>
                      </c:pt>
                      <c:pt idx="8">
                        <c:v>45565</c:v>
                      </c:pt>
                      <c:pt idx="9">
                        <c:v>45657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QTR!$B$10:$K$10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-38.28</c:v>
                      </c:pt>
                      <c:pt idx="1">
                        <c:v>-59.91</c:v>
                      </c:pt>
                      <c:pt idx="2">
                        <c:v>-85.47</c:v>
                      </c:pt>
                      <c:pt idx="3">
                        <c:v>-65.72</c:v>
                      </c:pt>
                      <c:pt idx="4">
                        <c:v>-62.89</c:v>
                      </c:pt>
                      <c:pt idx="5">
                        <c:v>-66.73</c:v>
                      </c:pt>
                      <c:pt idx="6">
                        <c:v>-85.4</c:v>
                      </c:pt>
                      <c:pt idx="7">
                        <c:v>-67.849999999999994</c:v>
                      </c:pt>
                      <c:pt idx="8">
                        <c:v>-62.85</c:v>
                      </c:pt>
                      <c:pt idx="9">
                        <c:v>-63.56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93A-42B4-BC6C-E79FD5633F84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QTR!$A$12</c15:sqref>
                        </c15:formulaRef>
                      </c:ext>
                    </c:extLst>
                    <c:strCache>
                      <c:ptCount val="1"/>
                      <c:pt idx="0">
                        <c:v>EPS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44834</c:v>
                      </c:pt>
                      <c:pt idx="1">
                        <c:v>44926</c:v>
                      </c:pt>
                      <c:pt idx="2">
                        <c:v>45016</c:v>
                      </c:pt>
                      <c:pt idx="3">
                        <c:v>45107</c:v>
                      </c:pt>
                      <c:pt idx="4">
                        <c:v>45199</c:v>
                      </c:pt>
                      <c:pt idx="5">
                        <c:v>45291</c:v>
                      </c:pt>
                      <c:pt idx="6">
                        <c:v>45382</c:v>
                      </c:pt>
                      <c:pt idx="7">
                        <c:v>45473</c:v>
                      </c:pt>
                      <c:pt idx="8">
                        <c:v>45565</c:v>
                      </c:pt>
                      <c:pt idx="9">
                        <c:v>45657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QTR!$B$12:$K$12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93A-42B4-BC6C-E79FD5633F84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44834</c:v>
                      </c:pt>
                      <c:pt idx="1">
                        <c:v>44926</c:v>
                      </c:pt>
                      <c:pt idx="2">
                        <c:v>45016</c:v>
                      </c:pt>
                      <c:pt idx="3">
                        <c:v>45107</c:v>
                      </c:pt>
                      <c:pt idx="4">
                        <c:v>45199</c:v>
                      </c:pt>
                      <c:pt idx="5">
                        <c:v>45291</c:v>
                      </c:pt>
                      <c:pt idx="6">
                        <c:v>45382</c:v>
                      </c:pt>
                      <c:pt idx="7">
                        <c:v>45473</c:v>
                      </c:pt>
                      <c:pt idx="8">
                        <c:v>45565</c:v>
                      </c:pt>
                      <c:pt idx="9">
                        <c:v>45657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QTR!$B$13:$K$13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93A-42B4-BC6C-E79FD5633F84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44834</c:v>
                      </c:pt>
                      <c:pt idx="1">
                        <c:v>44926</c:v>
                      </c:pt>
                      <c:pt idx="2">
                        <c:v>45016</c:v>
                      </c:pt>
                      <c:pt idx="3">
                        <c:v>45107</c:v>
                      </c:pt>
                      <c:pt idx="4">
                        <c:v>45199</c:v>
                      </c:pt>
                      <c:pt idx="5">
                        <c:v>45291</c:v>
                      </c:pt>
                      <c:pt idx="6">
                        <c:v>45382</c:v>
                      </c:pt>
                      <c:pt idx="7">
                        <c:v>45473</c:v>
                      </c:pt>
                      <c:pt idx="8">
                        <c:v>45565</c:v>
                      </c:pt>
                      <c:pt idx="9">
                        <c:v>45657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93A-42B4-BC6C-E79FD5633F8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2"/>
          <c:order val="12"/>
          <c:tx>
            <c:strRef>
              <c:f>QTR!$A$15</c:f>
              <c:strCache>
                <c:ptCount val="1"/>
                <c:pt idx="0">
                  <c:v>OPM %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QTR!$B$2:$K$2</c:f>
              <c:numCache>
                <c:formatCode>[$-409]mmm\-yy;@</c:formatCode>
                <c:ptCount val="10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  <c:pt idx="6">
                  <c:v>45382</c:v>
                </c:pt>
                <c:pt idx="7">
                  <c:v>45473</c:v>
                </c:pt>
                <c:pt idx="8">
                  <c:v>45565</c:v>
                </c:pt>
                <c:pt idx="9">
                  <c:v>45657</c:v>
                </c:pt>
              </c:numCache>
            </c:numRef>
          </c:cat>
          <c:val>
            <c:numRef>
              <c:f>QTR!$B$15:$K$15</c:f>
              <c:numCache>
                <c:formatCode>0.0%;\ \(0.0%\)</c:formatCode>
                <c:ptCount val="10"/>
                <c:pt idx="0">
                  <c:v>6.9826392323671965E-2</c:v>
                </c:pt>
                <c:pt idx="1">
                  <c:v>8.7135560001218609E-2</c:v>
                </c:pt>
                <c:pt idx="2">
                  <c:v>0.10378446403694118</c:v>
                </c:pt>
                <c:pt idx="3">
                  <c:v>9.1879939157280557E-2</c:v>
                </c:pt>
                <c:pt idx="4">
                  <c:v>8.8973012080112907E-2</c:v>
                </c:pt>
                <c:pt idx="5">
                  <c:v>0.10102456511489248</c:v>
                </c:pt>
                <c:pt idx="6">
                  <c:v>9.5779902179744164E-2</c:v>
                </c:pt>
                <c:pt idx="7">
                  <c:v>9.366117111995452E-2</c:v>
                </c:pt>
                <c:pt idx="8">
                  <c:v>7.6765902108080292E-2</c:v>
                </c:pt>
                <c:pt idx="9">
                  <c:v>7.5485219721738092E-2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93A-42B4-BC6C-E79FD5633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719512"/>
        <c:axId val="766716888"/>
      </c:lineChart>
      <c:catAx>
        <c:axId val="63908992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088288"/>
        <c:crosses val="autoZero"/>
        <c:auto val="0"/>
        <c:lblAlgn val="ctr"/>
        <c:lblOffset val="100"/>
        <c:noMultiLvlLbl val="0"/>
      </c:catAx>
      <c:valAx>
        <c:axId val="63908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 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089928"/>
        <c:crosses val="autoZero"/>
        <c:crossBetween val="between"/>
      </c:valAx>
      <c:valAx>
        <c:axId val="766716888"/>
        <c:scaling>
          <c:orientation val="minMax"/>
        </c:scaling>
        <c:delete val="0"/>
        <c:axPos val="r"/>
        <c:numFmt formatCode="0.0%;\ \(0.0%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19512"/>
        <c:crosses val="max"/>
        <c:crossBetween val="between"/>
      </c:valAx>
      <c:dateAx>
        <c:axId val="766719512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7667168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418407151815054E-2"/>
          <c:y val="0.90006653747251009"/>
          <c:w val="0.96026159591030213"/>
          <c:h val="4.8355075902131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/>
              <a:t>Yearly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23982208521334"/>
          <c:y val="9.6623109379850719E-2"/>
          <c:w val="0.78535709065761106"/>
          <c:h val="0.672702074801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'P&amp;L'!$A$3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'P&amp;L'!$B$2:$K$2</c:f>
              <c:numCache>
                <c:formatCode>[$-409]mmm\-yy;@</c:formatCode>
                <c:ptCount val="10"/>
                <c:pt idx="0">
                  <c:v>42094</c:v>
                </c:pt>
                <c:pt idx="1">
                  <c:v>42460</c:v>
                </c:pt>
                <c:pt idx="2">
                  <c:v>42825</c:v>
                </c:pt>
                <c:pt idx="3">
                  <c:v>43190</c:v>
                </c:pt>
                <c:pt idx="4">
                  <c:v>43555</c:v>
                </c:pt>
                <c:pt idx="5">
                  <c:v>43921</c:v>
                </c:pt>
                <c:pt idx="6">
                  <c:v>44286</c:v>
                </c:pt>
                <c:pt idx="7">
                  <c:v>44651</c:v>
                </c:pt>
                <c:pt idx="8">
                  <c:v>45016</c:v>
                </c:pt>
                <c:pt idx="9">
                  <c:v>45382</c:v>
                </c:pt>
              </c:numCache>
            </c:numRef>
          </c:cat>
          <c:val>
            <c:numRef>
              <c:f>'P&amp;L'!$B$3:$K$3</c:f>
              <c:numCache>
                <c:formatCode>#,##0;\ \(#,##0\)</c:formatCode>
                <c:ptCount val="10"/>
                <c:pt idx="0">
                  <c:v>5107.67</c:v>
                </c:pt>
                <c:pt idx="1">
                  <c:v>5078.49</c:v>
                </c:pt>
                <c:pt idx="2">
                  <c:v>4831.92</c:v>
                </c:pt>
                <c:pt idx="3">
                  <c:v>5818.48</c:v>
                </c:pt>
                <c:pt idx="4">
                  <c:v>7963.62</c:v>
                </c:pt>
                <c:pt idx="5">
                  <c:v>7425.23</c:v>
                </c:pt>
                <c:pt idx="6">
                  <c:v>6388.02</c:v>
                </c:pt>
                <c:pt idx="7">
                  <c:v>9316.57</c:v>
                </c:pt>
                <c:pt idx="8">
                  <c:v>14336.3</c:v>
                </c:pt>
                <c:pt idx="9">
                  <c:v>16152.98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9-43F4-845B-652011861BA5}"/>
            </c:ext>
          </c:extLst>
        </c:ser>
        <c:ser>
          <c:idx val="8"/>
          <c:order val="8"/>
          <c:tx>
            <c:strRef>
              <c:f>'P&amp;L'!$A$11</c:f>
              <c:strCache>
                <c:ptCount val="1"/>
                <c:pt idx="0">
                  <c:v>Net Profit / Profit after tax (PAT)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'P&amp;L'!$B$2:$K$2</c:f>
              <c:numCache>
                <c:formatCode>[$-409]mmm\-yy;@</c:formatCode>
                <c:ptCount val="10"/>
                <c:pt idx="0">
                  <c:v>42094</c:v>
                </c:pt>
                <c:pt idx="1">
                  <c:v>42460</c:v>
                </c:pt>
                <c:pt idx="2">
                  <c:v>42825</c:v>
                </c:pt>
                <c:pt idx="3">
                  <c:v>43190</c:v>
                </c:pt>
                <c:pt idx="4">
                  <c:v>43555</c:v>
                </c:pt>
                <c:pt idx="5">
                  <c:v>43921</c:v>
                </c:pt>
                <c:pt idx="6">
                  <c:v>44286</c:v>
                </c:pt>
                <c:pt idx="7">
                  <c:v>44651</c:v>
                </c:pt>
                <c:pt idx="8">
                  <c:v>45016</c:v>
                </c:pt>
                <c:pt idx="9">
                  <c:v>45382</c:v>
                </c:pt>
              </c:numCache>
            </c:numRef>
          </c:cat>
          <c:val>
            <c:numRef>
              <c:f>'P&amp;L'!$B$11:$K$11</c:f>
              <c:numCache>
                <c:formatCode>#,##0;\ \(#,##0\)</c:formatCode>
                <c:ptCount val="10"/>
                <c:pt idx="0">
                  <c:v>49.410000000000167</c:v>
                </c:pt>
                <c:pt idx="1">
                  <c:v>120.27999999999969</c:v>
                </c:pt>
                <c:pt idx="2">
                  <c:v>176.25000000000009</c:v>
                </c:pt>
                <c:pt idx="3">
                  <c:v>144.7399999999993</c:v>
                </c:pt>
                <c:pt idx="4">
                  <c:v>136.0600000000002</c:v>
                </c:pt>
                <c:pt idx="5">
                  <c:v>135.14999999999912</c:v>
                </c:pt>
                <c:pt idx="6">
                  <c:v>160.50000000000037</c:v>
                </c:pt>
                <c:pt idx="7">
                  <c:v>256.73</c:v>
                </c:pt>
                <c:pt idx="8">
                  <c:v>637.71999999999991</c:v>
                </c:pt>
                <c:pt idx="9">
                  <c:v>825.10999999999945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49-43F4-845B-652011861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1655968"/>
        <c:axId val="59165760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'P&amp;L'!$A$4</c15:sqref>
                        </c15:formulaRef>
                      </c:ext>
                    </c:extLst>
                    <c:strCache>
                      <c:ptCount val="1"/>
                      <c:pt idx="0">
                        <c:v>Operating Profit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'P&amp;L'!$B$2:$K$2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'P&amp;L'!$B$4:$K$4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264.34000000000015</c:v>
                      </c:pt>
                      <c:pt idx="1">
                        <c:v>380.39999999999964</c:v>
                      </c:pt>
                      <c:pt idx="2">
                        <c:v>433.56000000000017</c:v>
                      </c:pt>
                      <c:pt idx="3">
                        <c:v>425.62999999999931</c:v>
                      </c:pt>
                      <c:pt idx="4">
                        <c:v>491.29000000000019</c:v>
                      </c:pt>
                      <c:pt idx="5">
                        <c:v>495.4899999999991</c:v>
                      </c:pt>
                      <c:pt idx="6">
                        <c:v>439.86000000000035</c:v>
                      </c:pt>
                      <c:pt idx="7">
                        <c:v>577.97</c:v>
                      </c:pt>
                      <c:pt idx="8">
                        <c:v>1267.05</c:v>
                      </c:pt>
                      <c:pt idx="9">
                        <c:v>1567.7399999999993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249-43F4-845B-652011861B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'P&amp;L'!$A$5</c15:sqref>
                        </c15:formulaRef>
                      </c:ext>
                    </c:extLst>
                    <c:strCache>
                      <c:ptCount val="1"/>
                      <c:pt idx="0">
                        <c:v>Other Income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'P&amp;L'!$B$5:$K$5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1.23</c:v>
                      </c:pt>
                      <c:pt idx="1">
                        <c:v>10.039999999999999</c:v>
                      </c:pt>
                      <c:pt idx="2">
                        <c:v>15.33</c:v>
                      </c:pt>
                      <c:pt idx="3">
                        <c:v>11.08</c:v>
                      </c:pt>
                      <c:pt idx="4">
                        <c:v>14.72</c:v>
                      </c:pt>
                      <c:pt idx="5">
                        <c:v>15.18</c:v>
                      </c:pt>
                      <c:pt idx="6">
                        <c:v>18.61</c:v>
                      </c:pt>
                      <c:pt idx="7">
                        <c:v>32.61</c:v>
                      </c:pt>
                      <c:pt idx="8">
                        <c:v>35.96</c:v>
                      </c:pt>
                      <c:pt idx="9">
                        <c:v>85.89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249-43F4-845B-652011861BA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'P&amp;L'!$A$6</c15:sqref>
                        </c15:formulaRef>
                      </c:ext>
                    </c:extLst>
                    <c:strCache>
                      <c:ptCount val="1"/>
                      <c:pt idx="0">
                        <c:v>EBITDA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'P&amp;L'!$B$6:$K$6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265.57000000000016</c:v>
                      </c:pt>
                      <c:pt idx="1">
                        <c:v>390.43999999999966</c:v>
                      </c:pt>
                      <c:pt idx="2">
                        <c:v>448.89000000000016</c:v>
                      </c:pt>
                      <c:pt idx="3">
                        <c:v>436.7099999999993</c:v>
                      </c:pt>
                      <c:pt idx="4">
                        <c:v>506.01000000000022</c:v>
                      </c:pt>
                      <c:pt idx="5">
                        <c:v>510.66999999999911</c:v>
                      </c:pt>
                      <c:pt idx="6">
                        <c:v>458.47000000000037</c:v>
                      </c:pt>
                      <c:pt idx="7">
                        <c:v>610.58000000000004</c:v>
                      </c:pt>
                      <c:pt idx="8">
                        <c:v>1303.01</c:v>
                      </c:pt>
                      <c:pt idx="9">
                        <c:v>1653.6299999999994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249-43F4-845B-652011861B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'P&amp;L'!$A$7</c15:sqref>
                        </c15:formulaRef>
                      </c:ext>
                    </c:extLst>
                    <c:strCache>
                      <c:ptCount val="1"/>
                      <c:pt idx="0">
                        <c:v>Interest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'P&amp;L'!$B$7:$K$7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-161.88999999999999</c:v>
                      </c:pt>
                      <c:pt idx="1">
                        <c:v>-175.14</c:v>
                      </c:pt>
                      <c:pt idx="2">
                        <c:v>-130.52000000000001</c:v>
                      </c:pt>
                      <c:pt idx="3">
                        <c:v>-158.07</c:v>
                      </c:pt>
                      <c:pt idx="4">
                        <c:v>-223.12</c:v>
                      </c:pt>
                      <c:pt idx="5">
                        <c:v>-254.14</c:v>
                      </c:pt>
                      <c:pt idx="6">
                        <c:v>-156.76</c:v>
                      </c:pt>
                      <c:pt idx="7">
                        <c:v>-170.74</c:v>
                      </c:pt>
                      <c:pt idx="8">
                        <c:v>-344.11</c:v>
                      </c:pt>
                      <c:pt idx="9">
                        <c:v>-432.07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249-43F4-845B-652011861B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'P&amp;L'!$A$8</c15:sqref>
                        </c15:formulaRef>
                      </c:ext>
                    </c:extLst>
                    <c:strCache>
                      <c:ptCount val="1"/>
                      <c:pt idx="0">
                        <c:v>Depreciation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'P&amp;L'!$B$8:$K$8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-31.21</c:v>
                      </c:pt>
                      <c:pt idx="1">
                        <c:v>-37.76</c:v>
                      </c:pt>
                      <c:pt idx="2">
                        <c:v>-44.97</c:v>
                      </c:pt>
                      <c:pt idx="3">
                        <c:v>-55.87</c:v>
                      </c:pt>
                      <c:pt idx="4">
                        <c:v>-66.67</c:v>
                      </c:pt>
                      <c:pt idx="5">
                        <c:v>-87.12</c:v>
                      </c:pt>
                      <c:pt idx="6">
                        <c:v>-93.44</c:v>
                      </c:pt>
                      <c:pt idx="7">
                        <c:v>-97.84</c:v>
                      </c:pt>
                      <c:pt idx="8">
                        <c:v>-104.34</c:v>
                      </c:pt>
                      <c:pt idx="9">
                        <c:v>-115.71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249-43F4-845B-652011861B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'P&amp;L'!$A$9</c15:sqref>
                        </c15:formulaRef>
                      </c:ext>
                    </c:extLst>
                    <c:strCache>
                      <c:ptCount val="1"/>
                      <c:pt idx="0">
                        <c:v>Profit before tax (PBT)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'P&amp;L'!$B$9:$K$9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72.470000000000169</c:v>
                      </c:pt>
                      <c:pt idx="1">
                        <c:v>177.53999999999968</c:v>
                      </c:pt>
                      <c:pt idx="2">
                        <c:v>273.40000000000009</c:v>
                      </c:pt>
                      <c:pt idx="3">
                        <c:v>222.7699999999993</c:v>
                      </c:pt>
                      <c:pt idx="4">
                        <c:v>216.2200000000002</c:v>
                      </c:pt>
                      <c:pt idx="5">
                        <c:v>169.40999999999912</c:v>
                      </c:pt>
                      <c:pt idx="6">
                        <c:v>208.27000000000038</c:v>
                      </c:pt>
                      <c:pt idx="7">
                        <c:v>342</c:v>
                      </c:pt>
                      <c:pt idx="8">
                        <c:v>854.56</c:v>
                      </c:pt>
                      <c:pt idx="9">
                        <c:v>1105.8499999999995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249-43F4-845B-652011861B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'P&amp;L'!$A$10</c15:sqref>
                        </c15:formulaRef>
                      </c:ext>
                    </c:extLst>
                    <c:strCache>
                      <c:ptCount val="1"/>
                      <c:pt idx="0">
                        <c:v>Tax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'P&amp;L'!$B$10:$K$10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-23.06</c:v>
                      </c:pt>
                      <c:pt idx="1">
                        <c:v>-57.26</c:v>
                      </c:pt>
                      <c:pt idx="2">
                        <c:v>-97.15</c:v>
                      </c:pt>
                      <c:pt idx="3">
                        <c:v>-78.03</c:v>
                      </c:pt>
                      <c:pt idx="4">
                        <c:v>-80.16</c:v>
                      </c:pt>
                      <c:pt idx="5">
                        <c:v>-34.26</c:v>
                      </c:pt>
                      <c:pt idx="6">
                        <c:v>-47.77</c:v>
                      </c:pt>
                      <c:pt idx="7">
                        <c:v>-85.27</c:v>
                      </c:pt>
                      <c:pt idx="8">
                        <c:v>-216.84</c:v>
                      </c:pt>
                      <c:pt idx="9">
                        <c:v>-280.74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249-43F4-845B-652011861B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'P&amp;L'!$A$12</c15:sqref>
                        </c15:formulaRef>
                      </c:ext>
                    </c:extLst>
                    <c:strCache>
                      <c:ptCount val="1"/>
                      <c:pt idx="0">
                        <c:v>EPS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'P&amp;L'!$B$12:$K$12</c15:sqref>
                        </c15:formulaRef>
                      </c:ext>
                    </c:extLst>
                    <c:numCache>
                      <c:formatCode>#,##0.00</c:formatCode>
                      <c:ptCount val="10"/>
                      <c:pt idx="0">
                        <c:v>12.834933045861355</c:v>
                      </c:pt>
                      <c:pt idx="1">
                        <c:v>31.244180518110415</c:v>
                      </c:pt>
                      <c:pt idx="2">
                        <c:v>46.056012630087359</c:v>
                      </c:pt>
                      <c:pt idx="3">
                        <c:v>37.82211215931239</c:v>
                      </c:pt>
                      <c:pt idx="4">
                        <c:v>35.553935196877681</c:v>
                      </c:pt>
                      <c:pt idx="5">
                        <c:v>35.316142450815668</c:v>
                      </c:pt>
                      <c:pt idx="6">
                        <c:v>41.940368948249834</c:v>
                      </c:pt>
                      <c:pt idx="7">
                        <c:v>67.086298567502524</c:v>
                      </c:pt>
                      <c:pt idx="8">
                        <c:v>166.64306595437893</c:v>
                      </c:pt>
                      <c:pt idx="9">
                        <c:v>205.41314715342165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249-43F4-845B-652011861BA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0"/>
          <c:order val="10"/>
          <c:tx>
            <c:strRef>
              <c:f>'P&amp;L'!$A$13</c:f>
              <c:strCache>
                <c:ptCount val="1"/>
                <c:pt idx="0">
                  <c:v>OPM %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'P&amp;L'!$B$2:$K$2</c:f>
              <c:numCache>
                <c:formatCode>[$-409]mmm\-yy;@</c:formatCode>
                <c:ptCount val="10"/>
                <c:pt idx="0">
                  <c:v>42094</c:v>
                </c:pt>
                <c:pt idx="1">
                  <c:v>42460</c:v>
                </c:pt>
                <c:pt idx="2">
                  <c:v>42825</c:v>
                </c:pt>
                <c:pt idx="3">
                  <c:v>43190</c:v>
                </c:pt>
                <c:pt idx="4">
                  <c:v>43555</c:v>
                </c:pt>
                <c:pt idx="5">
                  <c:v>43921</c:v>
                </c:pt>
                <c:pt idx="6">
                  <c:v>44286</c:v>
                </c:pt>
                <c:pt idx="7">
                  <c:v>44651</c:v>
                </c:pt>
                <c:pt idx="8">
                  <c:v>45016</c:v>
                </c:pt>
                <c:pt idx="9">
                  <c:v>45382</c:v>
                </c:pt>
              </c:numCache>
            </c:numRef>
          </c:cat>
          <c:val>
            <c:numRef>
              <c:f>'P&amp;L'!$B$13:$K$13</c:f>
              <c:numCache>
                <c:formatCode>0.0%;\ \(0.0%\)</c:formatCode>
                <c:ptCount val="10"/>
                <c:pt idx="0">
                  <c:v>5.1753539285036058E-2</c:v>
                </c:pt>
                <c:pt idx="1">
                  <c:v>7.4904154581381402E-2</c:v>
                </c:pt>
                <c:pt idx="2">
                  <c:v>8.9728306760045728E-2</c:v>
                </c:pt>
                <c:pt idx="3">
                  <c:v>7.3151407240378816E-2</c:v>
                </c:pt>
                <c:pt idx="4">
                  <c:v>6.1691793430625794E-2</c:v>
                </c:pt>
                <c:pt idx="5">
                  <c:v>6.6730592857056167E-2</c:v>
                </c:pt>
                <c:pt idx="6">
                  <c:v>6.8857016728188128E-2</c:v>
                </c:pt>
                <c:pt idx="7">
                  <c:v>6.2036779630271661E-2</c:v>
                </c:pt>
                <c:pt idx="8">
                  <c:v>8.8380544491953997E-2</c:v>
                </c:pt>
                <c:pt idx="9">
                  <c:v>9.7055775466817845E-2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249-43F4-845B-652011861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654328"/>
        <c:axId val="591656296"/>
      </c:lineChart>
      <c:catAx>
        <c:axId val="59165596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657608"/>
        <c:crosses val="autoZero"/>
        <c:auto val="0"/>
        <c:lblAlgn val="ctr"/>
        <c:lblOffset val="100"/>
        <c:noMultiLvlLbl val="0"/>
      </c:catAx>
      <c:valAx>
        <c:axId val="59165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 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655968"/>
        <c:crosses val="autoZero"/>
        <c:crossBetween val="between"/>
      </c:valAx>
      <c:valAx>
        <c:axId val="591656296"/>
        <c:scaling>
          <c:orientation val="minMax"/>
        </c:scaling>
        <c:delete val="0"/>
        <c:axPos val="r"/>
        <c:numFmt formatCode="0.0%;\ \(0.0%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654328"/>
        <c:crosses val="max"/>
        <c:crossBetween val="between"/>
      </c:valAx>
      <c:dateAx>
        <c:axId val="591654328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591656296"/>
        <c:crosses val="autoZero"/>
        <c:auto val="1"/>
        <c:lblOffset val="100"/>
        <c:baseTimeUnit val="year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845954358318133E-2"/>
          <c:y val="0.90795964642993332"/>
          <c:w val="0.97842776187653935"/>
          <c:h val="4.87274065003070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/>
              <a:t>RBF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598212026902305E-2"/>
          <c:y val="0.10722232351644369"/>
          <c:w val="0.83280357594619536"/>
          <c:h val="0.6526234179037649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'Balance Sheet'!$A$4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'Balance Sheet'!$B$2:$K$2</c:f>
              <c:numCache>
                <c:formatCode>[$-409]mmm\-yy;@</c:formatCode>
                <c:ptCount val="10"/>
                <c:pt idx="0">
                  <c:v>42094</c:v>
                </c:pt>
                <c:pt idx="1">
                  <c:v>42460</c:v>
                </c:pt>
                <c:pt idx="2">
                  <c:v>42825</c:v>
                </c:pt>
                <c:pt idx="3">
                  <c:v>43190</c:v>
                </c:pt>
                <c:pt idx="4">
                  <c:v>43555</c:v>
                </c:pt>
                <c:pt idx="5">
                  <c:v>43921</c:v>
                </c:pt>
                <c:pt idx="6">
                  <c:v>44286</c:v>
                </c:pt>
                <c:pt idx="7">
                  <c:v>44651</c:v>
                </c:pt>
                <c:pt idx="8">
                  <c:v>45016</c:v>
                </c:pt>
                <c:pt idx="9">
                  <c:v>45382</c:v>
                </c:pt>
              </c:numCache>
            </c:numRef>
          </c:cat>
          <c:val>
            <c:numRef>
              <c:f>'Balance Sheet'!$B$4:$K$4</c:f>
              <c:numCache>
                <c:formatCode>#,##0;\ \(#,##0\)</c:formatCode>
                <c:ptCount val="10"/>
                <c:pt idx="0">
                  <c:v>691.31</c:v>
                </c:pt>
                <c:pt idx="1">
                  <c:v>815.44</c:v>
                </c:pt>
                <c:pt idx="2">
                  <c:v>997.85</c:v>
                </c:pt>
                <c:pt idx="3">
                  <c:v>1069.98</c:v>
                </c:pt>
                <c:pt idx="4">
                  <c:v>1164.0999999999999</c:v>
                </c:pt>
                <c:pt idx="5">
                  <c:v>1128.1600000000001</c:v>
                </c:pt>
                <c:pt idx="6">
                  <c:v>1361.25</c:v>
                </c:pt>
                <c:pt idx="7">
                  <c:v>1676.96</c:v>
                </c:pt>
                <c:pt idx="8">
                  <c:v>2198.12</c:v>
                </c:pt>
                <c:pt idx="9">
                  <c:v>3836.27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7-47AD-85A6-B923A1C2D760}"/>
            </c:ext>
          </c:extLst>
        </c:ser>
        <c:ser>
          <c:idx val="2"/>
          <c:order val="2"/>
          <c:tx>
            <c:strRef>
              <c:f>'Balance Sheet'!$A$5</c:f>
              <c:strCache>
                <c:ptCount val="1"/>
                <c:pt idx="0">
                  <c:v>Borrowings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'Balance Sheet'!$B$2:$K$2</c:f>
              <c:numCache>
                <c:formatCode>[$-409]mmm\-yy;@</c:formatCode>
                <c:ptCount val="10"/>
                <c:pt idx="0">
                  <c:v>42094</c:v>
                </c:pt>
                <c:pt idx="1">
                  <c:v>42460</c:v>
                </c:pt>
                <c:pt idx="2">
                  <c:v>42825</c:v>
                </c:pt>
                <c:pt idx="3">
                  <c:v>43190</c:v>
                </c:pt>
                <c:pt idx="4">
                  <c:v>43555</c:v>
                </c:pt>
                <c:pt idx="5">
                  <c:v>43921</c:v>
                </c:pt>
                <c:pt idx="6">
                  <c:v>44286</c:v>
                </c:pt>
                <c:pt idx="7">
                  <c:v>44651</c:v>
                </c:pt>
                <c:pt idx="8">
                  <c:v>45016</c:v>
                </c:pt>
                <c:pt idx="9">
                  <c:v>45382</c:v>
                </c:pt>
              </c:numCache>
            </c:numRef>
          </c:cat>
          <c:val>
            <c:numRef>
              <c:f>'Balance Sheet'!$B$5:$K$5</c:f>
              <c:numCache>
                <c:formatCode>#,##0;\ \(#,##0\)</c:formatCode>
                <c:ptCount val="10"/>
                <c:pt idx="0" formatCode="General">
                  <c:v>494.16</c:v>
                </c:pt>
                <c:pt idx="1">
                  <c:v>384.43</c:v>
                </c:pt>
                <c:pt idx="2">
                  <c:v>304.62</c:v>
                </c:pt>
                <c:pt idx="3">
                  <c:v>362.53</c:v>
                </c:pt>
                <c:pt idx="4">
                  <c:v>253.28</c:v>
                </c:pt>
                <c:pt idx="5">
                  <c:v>371.54</c:v>
                </c:pt>
                <c:pt idx="6">
                  <c:v>324.81</c:v>
                </c:pt>
                <c:pt idx="7">
                  <c:v>359.19</c:v>
                </c:pt>
                <c:pt idx="8">
                  <c:v>376.23</c:v>
                </c:pt>
                <c:pt idx="9">
                  <c:v>475.61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37-47AD-85A6-B923A1C2D760}"/>
            </c:ext>
          </c:extLst>
        </c:ser>
        <c:ser>
          <c:idx val="7"/>
          <c:order val="7"/>
          <c:tx>
            <c:strRef>
              <c:f>'Balance Sheet'!$A$10</c:f>
              <c:strCache>
                <c:ptCount val="1"/>
                <c:pt idx="0">
                  <c:v>CWIP</c:v>
                </c:pt>
              </c:strCache>
              <c:extLst xmlns:c15="http://schemas.microsoft.com/office/drawing/2012/chart"/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'Balance Sheet'!$B$2:$K$2</c:f>
              <c:numCache>
                <c:formatCode>[$-409]mmm\-yy;@</c:formatCode>
                <c:ptCount val="10"/>
                <c:pt idx="0">
                  <c:v>42094</c:v>
                </c:pt>
                <c:pt idx="1">
                  <c:v>42460</c:v>
                </c:pt>
                <c:pt idx="2">
                  <c:v>42825</c:v>
                </c:pt>
                <c:pt idx="3">
                  <c:v>43190</c:v>
                </c:pt>
                <c:pt idx="4">
                  <c:v>43555</c:v>
                </c:pt>
                <c:pt idx="5">
                  <c:v>43921</c:v>
                </c:pt>
                <c:pt idx="6">
                  <c:v>44286</c:v>
                </c:pt>
                <c:pt idx="7">
                  <c:v>44651</c:v>
                </c:pt>
                <c:pt idx="8">
                  <c:v>45016</c:v>
                </c:pt>
                <c:pt idx="9">
                  <c:v>45382</c:v>
                </c:pt>
              </c:numCache>
              <c:extLst xmlns:c15="http://schemas.microsoft.com/office/drawing/2012/chart"/>
            </c:numRef>
          </c:cat>
          <c:val>
            <c:numRef>
              <c:f>'Balance Sheet'!$B$10:$K$10</c:f>
              <c:numCache>
                <c:formatCode>#,##0;\ \(#,##0\)</c:formatCode>
                <c:ptCount val="10"/>
                <c:pt idx="0">
                  <c:v>10.24</c:v>
                </c:pt>
                <c:pt idx="1">
                  <c:v>56.11</c:v>
                </c:pt>
                <c:pt idx="2">
                  <c:v>27.75</c:v>
                </c:pt>
                <c:pt idx="3">
                  <c:v>19.5</c:v>
                </c:pt>
                <c:pt idx="4">
                  <c:v>103.48</c:v>
                </c:pt>
                <c:pt idx="5">
                  <c:v>54.71</c:v>
                </c:pt>
                <c:pt idx="6">
                  <c:v>28.71</c:v>
                </c:pt>
                <c:pt idx="7">
                  <c:v>38.49</c:v>
                </c:pt>
                <c:pt idx="8">
                  <c:v>99.31</c:v>
                </c:pt>
                <c:pt idx="9">
                  <c:v>122.45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2737-47AD-85A6-B923A1C2D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296936"/>
        <c:axId val="9172989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'Balance Sheet'!$A$3</c15:sqref>
                        </c15:formulaRef>
                      </c:ext>
                    </c:extLst>
                    <c:strCache>
                      <c:ptCount val="1"/>
                      <c:pt idx="0">
                        <c:v>Equity Share Capital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'Balance Sheet'!$B$3:$K$3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38.5</c:v>
                      </c:pt>
                      <c:pt idx="1">
                        <c:v>38.5</c:v>
                      </c:pt>
                      <c:pt idx="2">
                        <c:v>38.270000000000003</c:v>
                      </c:pt>
                      <c:pt idx="3">
                        <c:v>38.270000000000003</c:v>
                      </c:pt>
                      <c:pt idx="4">
                        <c:v>38.270000000000003</c:v>
                      </c:pt>
                      <c:pt idx="5">
                        <c:v>38.270000000000003</c:v>
                      </c:pt>
                      <c:pt idx="6">
                        <c:v>38.270000000000003</c:v>
                      </c:pt>
                      <c:pt idx="7">
                        <c:v>38.270000000000003</c:v>
                      </c:pt>
                      <c:pt idx="8">
                        <c:v>38.270000000000003</c:v>
                      </c:pt>
                      <c:pt idx="9">
                        <c:v>40.17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2737-47AD-85A6-B923A1C2D76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Sheet'!$A$6</c15:sqref>
                        </c15:formulaRef>
                      </c:ext>
                    </c:extLst>
                    <c:strCache>
                      <c:ptCount val="1"/>
                      <c:pt idx="0">
                        <c:v>Other Liabilities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Sheet'!$B$6:$K$6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1731.95</c:v>
                      </c:pt>
                      <c:pt idx="1">
                        <c:v>1680.19</c:v>
                      </c:pt>
                      <c:pt idx="2">
                        <c:v>2107.48</c:v>
                      </c:pt>
                      <c:pt idx="3">
                        <c:v>2805.07</c:v>
                      </c:pt>
                      <c:pt idx="4">
                        <c:v>3501.32</c:v>
                      </c:pt>
                      <c:pt idx="5">
                        <c:v>3115.83</c:v>
                      </c:pt>
                      <c:pt idx="6">
                        <c:v>3274.65</c:v>
                      </c:pt>
                      <c:pt idx="7">
                        <c:v>4533.1000000000004</c:v>
                      </c:pt>
                      <c:pt idx="8">
                        <c:v>5605.03</c:v>
                      </c:pt>
                      <c:pt idx="9">
                        <c:v>5263.71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737-47AD-85A6-B923A1C2D76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Sheet'!$A$7</c15:sqref>
                        </c15:formulaRef>
                      </c:ext>
                    </c:extLst>
                    <c:strCache>
                      <c:ptCount val="1"/>
                      <c:pt idx="0">
                        <c:v>Total Liabilities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Sheet'!$B$7:$K$7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2955.92</c:v>
                      </c:pt>
                      <c:pt idx="1">
                        <c:v>2918.5600000000004</c:v>
                      </c:pt>
                      <c:pt idx="2">
                        <c:v>3448.2200000000003</c:v>
                      </c:pt>
                      <c:pt idx="3">
                        <c:v>4275.8500000000004</c:v>
                      </c:pt>
                      <c:pt idx="4">
                        <c:v>4956.97</c:v>
                      </c:pt>
                      <c:pt idx="5">
                        <c:v>4653.8</c:v>
                      </c:pt>
                      <c:pt idx="6">
                        <c:v>4998.9799999999996</c:v>
                      </c:pt>
                      <c:pt idx="7">
                        <c:v>6607.52</c:v>
                      </c:pt>
                      <c:pt idx="8">
                        <c:v>8217.65</c:v>
                      </c:pt>
                      <c:pt idx="9">
                        <c:v>9615.76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737-47AD-85A6-B923A1C2D76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Sheet'!$B$8:$K$8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737-47AD-85A6-B923A1C2D76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Sheet'!$A$11</c15:sqref>
                        </c15:formulaRef>
                      </c:ext>
                    </c:extLst>
                    <c:strCache>
                      <c:ptCount val="1"/>
                      <c:pt idx="0">
                        <c:v>Investments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Sheet'!$B$11:$K$11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5.26</c:v>
                      </c:pt>
                      <c:pt idx="1">
                        <c:v>112.45</c:v>
                      </c:pt>
                      <c:pt idx="2">
                        <c:v>118.57</c:v>
                      </c:pt>
                      <c:pt idx="3">
                        <c:v>0</c:v>
                      </c:pt>
                      <c:pt idx="4">
                        <c:v>186.92</c:v>
                      </c:pt>
                      <c:pt idx="5">
                        <c:v>0</c:v>
                      </c:pt>
                      <c:pt idx="6">
                        <c:v>60.4</c:v>
                      </c:pt>
                      <c:pt idx="7">
                        <c:v>30.52</c:v>
                      </c:pt>
                      <c:pt idx="8">
                        <c:v>54.28</c:v>
                      </c:pt>
                      <c:pt idx="9">
                        <c:v>10.76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737-47AD-85A6-B923A1C2D760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Sheet'!$A$12</c15:sqref>
                        </c15:formulaRef>
                      </c:ext>
                    </c:extLst>
                    <c:strCache>
                      <c:ptCount val="1"/>
                      <c:pt idx="0">
                        <c:v>Other Assets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Sheet'!$B$12:$K$12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2545.86</c:v>
                      </c:pt>
                      <c:pt idx="1">
                        <c:v>2352.15</c:v>
                      </c:pt>
                      <c:pt idx="2">
                        <c:v>2728.03</c:v>
                      </c:pt>
                      <c:pt idx="3">
                        <c:v>3607.83</c:v>
                      </c:pt>
                      <c:pt idx="4">
                        <c:v>3957.73</c:v>
                      </c:pt>
                      <c:pt idx="5">
                        <c:v>3714.43</c:v>
                      </c:pt>
                      <c:pt idx="6">
                        <c:v>4031.96</c:v>
                      </c:pt>
                      <c:pt idx="7">
                        <c:v>5657.27</c:v>
                      </c:pt>
                      <c:pt idx="8">
                        <c:v>7113.58</c:v>
                      </c:pt>
                      <c:pt idx="9">
                        <c:v>8289.7199999999993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737-47AD-85A6-B923A1C2D76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Sheet'!$A$13</c15:sqref>
                        </c15:formulaRef>
                      </c:ext>
                    </c:extLst>
                    <c:strCache>
                      <c:ptCount val="1"/>
                      <c:pt idx="0">
                        <c:v>Total Assets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Sheet'!$B$13:$K$13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2955.92</c:v>
                      </c:pt>
                      <c:pt idx="1">
                        <c:v>2918.5600000000004</c:v>
                      </c:pt>
                      <c:pt idx="2">
                        <c:v>3448.2200000000003</c:v>
                      </c:pt>
                      <c:pt idx="3">
                        <c:v>4275.8500000000004</c:v>
                      </c:pt>
                      <c:pt idx="4">
                        <c:v>4956.97</c:v>
                      </c:pt>
                      <c:pt idx="5">
                        <c:v>4653.8</c:v>
                      </c:pt>
                      <c:pt idx="6">
                        <c:v>4998.9799999999996</c:v>
                      </c:pt>
                      <c:pt idx="7">
                        <c:v>6607.52</c:v>
                      </c:pt>
                      <c:pt idx="8">
                        <c:v>8217.65</c:v>
                      </c:pt>
                      <c:pt idx="9">
                        <c:v>9615.7599999999984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737-47AD-85A6-B923A1C2D760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737-47AD-85A6-B923A1C2D760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Sheet'!$A$15</c15:sqref>
                        </c15:formulaRef>
                      </c:ext>
                    </c:extLst>
                    <c:strCache>
                      <c:ptCount val="1"/>
                      <c:pt idx="0">
                        <c:v>Receivables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Sheet'!$B$15:$K$15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1267</c:v>
                      </c:pt>
                      <c:pt idx="1">
                        <c:v>1090.3900000000001</c:v>
                      </c:pt>
                      <c:pt idx="2">
                        <c:v>1254.32</c:v>
                      </c:pt>
                      <c:pt idx="3">
                        <c:v>1734.48</c:v>
                      </c:pt>
                      <c:pt idx="4">
                        <c:v>2141.61</c:v>
                      </c:pt>
                      <c:pt idx="5">
                        <c:v>1898.6</c:v>
                      </c:pt>
                      <c:pt idx="6">
                        <c:v>1860.57</c:v>
                      </c:pt>
                      <c:pt idx="7">
                        <c:v>2531.13</c:v>
                      </c:pt>
                      <c:pt idx="8">
                        <c:v>3198.07</c:v>
                      </c:pt>
                      <c:pt idx="9">
                        <c:v>3928.91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737-47AD-85A6-B923A1C2D760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Sheet'!$A$16</c15:sqref>
                        </c15:formulaRef>
                      </c:ext>
                    </c:extLst>
                    <c:strCache>
                      <c:ptCount val="1"/>
                      <c:pt idx="0">
                        <c:v>Inventory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Sheet'!$B$16:$K$16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944.25</c:v>
                      </c:pt>
                      <c:pt idx="1">
                        <c:v>769.76</c:v>
                      </c:pt>
                      <c:pt idx="2">
                        <c:v>993.54</c:v>
                      </c:pt>
                      <c:pt idx="3">
                        <c:v>1212.26</c:v>
                      </c:pt>
                      <c:pt idx="4">
                        <c:v>1282.8800000000001</c:v>
                      </c:pt>
                      <c:pt idx="5">
                        <c:v>1331.43</c:v>
                      </c:pt>
                      <c:pt idx="6">
                        <c:v>1562.71</c:v>
                      </c:pt>
                      <c:pt idx="7">
                        <c:v>2138.65</c:v>
                      </c:pt>
                      <c:pt idx="8">
                        <c:v>2575.64</c:v>
                      </c:pt>
                      <c:pt idx="9">
                        <c:v>2864.46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737-47AD-85A6-B923A1C2D760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Sheet'!$A$17</c15:sqref>
                        </c15:formulaRef>
                      </c:ext>
                    </c:extLst>
                    <c:strCache>
                      <c:ptCount val="1"/>
                      <c:pt idx="0">
                        <c:v>Cash &amp; Bank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Sheet'!$B$17:$K$17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100.47</c:v>
                      </c:pt>
                      <c:pt idx="1">
                        <c:v>133.86000000000001</c:v>
                      </c:pt>
                      <c:pt idx="2">
                        <c:v>122.97</c:v>
                      </c:pt>
                      <c:pt idx="3">
                        <c:v>274.37</c:v>
                      </c:pt>
                      <c:pt idx="4">
                        <c:v>225.29</c:v>
                      </c:pt>
                      <c:pt idx="5">
                        <c:v>176.23</c:v>
                      </c:pt>
                      <c:pt idx="6">
                        <c:v>222.45</c:v>
                      </c:pt>
                      <c:pt idx="7">
                        <c:v>266.41000000000003</c:v>
                      </c:pt>
                      <c:pt idx="8">
                        <c:v>530.1</c:v>
                      </c:pt>
                      <c:pt idx="9">
                        <c:v>646.03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737-47AD-85A6-B923A1C2D760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Sheet'!$A$18</c15:sqref>
                        </c15:formulaRef>
                      </c:ext>
                    </c:extLst>
                    <c:strCache>
                      <c:ptCount val="1"/>
                      <c:pt idx="0">
                        <c:v>Working Capital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Sheet'!$B$18:$K$18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813.91000000000008</c:v>
                      </c:pt>
                      <c:pt idx="1">
                        <c:v>671.96</c:v>
                      </c:pt>
                      <c:pt idx="2">
                        <c:v>620.55000000000018</c:v>
                      </c:pt>
                      <c:pt idx="3">
                        <c:v>802.75999999999976</c:v>
                      </c:pt>
                      <c:pt idx="4">
                        <c:v>456.40999999999985</c:v>
                      </c:pt>
                      <c:pt idx="5">
                        <c:v>598.59999999999991</c:v>
                      </c:pt>
                      <c:pt idx="6">
                        <c:v>757.31</c:v>
                      </c:pt>
                      <c:pt idx="7">
                        <c:v>1124.17</c:v>
                      </c:pt>
                      <c:pt idx="8">
                        <c:v>1508.5500000000002</c:v>
                      </c:pt>
                      <c:pt idx="9">
                        <c:v>3026.0099999999993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737-47AD-85A6-B923A1C2D760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Sheet'!$A$19</c15:sqref>
                        </c15:formulaRef>
                      </c:ext>
                    </c:extLst>
                    <c:strCache>
                      <c:ptCount val="1"/>
                      <c:pt idx="0">
                        <c:v>Capital Employed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Sheet'!$B$19:$K$19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1223.97</c:v>
                      </c:pt>
                      <c:pt idx="1">
                        <c:v>1238.3700000000001</c:v>
                      </c:pt>
                      <c:pt idx="2">
                        <c:v>1340.7400000000002</c:v>
                      </c:pt>
                      <c:pt idx="3">
                        <c:v>1470.78</c:v>
                      </c:pt>
                      <c:pt idx="4">
                        <c:v>1455.6499999999999</c:v>
                      </c:pt>
                      <c:pt idx="5">
                        <c:v>1537.97</c:v>
                      </c:pt>
                      <c:pt idx="6">
                        <c:v>1724.33</c:v>
                      </c:pt>
                      <c:pt idx="7">
                        <c:v>2074.42</c:v>
                      </c:pt>
                      <c:pt idx="8">
                        <c:v>2612.62</c:v>
                      </c:pt>
                      <c:pt idx="9">
                        <c:v>4352.05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737-47AD-85A6-B923A1C2D760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Sheet'!$A$20</c15:sqref>
                        </c15:formulaRef>
                      </c:ext>
                    </c:extLst>
                    <c:strCache>
                      <c:ptCount val="1"/>
                      <c:pt idx="0">
                        <c:v>Total Equity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Sheet'!$B$20:$K$20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729.81</c:v>
                      </c:pt>
                      <c:pt idx="1">
                        <c:v>853.94</c:v>
                      </c:pt>
                      <c:pt idx="2">
                        <c:v>1036.1200000000001</c:v>
                      </c:pt>
                      <c:pt idx="3">
                        <c:v>1108.25</c:v>
                      </c:pt>
                      <c:pt idx="4">
                        <c:v>1202.3699999999999</c:v>
                      </c:pt>
                      <c:pt idx="5">
                        <c:v>1166.43</c:v>
                      </c:pt>
                      <c:pt idx="6">
                        <c:v>1399.52</c:v>
                      </c:pt>
                      <c:pt idx="7">
                        <c:v>1715.23</c:v>
                      </c:pt>
                      <c:pt idx="8">
                        <c:v>2236.39</c:v>
                      </c:pt>
                      <c:pt idx="9">
                        <c:v>3876.44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2737-47AD-85A6-B923A1C2D760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Sheet'!$B$21:$K$21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2737-47AD-85A6-B923A1C2D760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Sheet'!$A$22</c15:sqref>
                        </c15:formulaRef>
                      </c:ext>
                    </c:extLst>
                    <c:strCache>
                      <c:ptCount val="1"/>
                      <c:pt idx="0">
                        <c:v>Net Fixed Asset Turnover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Sheet'!$B$22:$K$22</c15:sqref>
                        </c15:formulaRef>
                      </c:ext>
                    </c:extLst>
                    <c:numCache>
                      <c:formatCode>#,##0.0\x;\ \(#,##0.0\x\)</c:formatCode>
                      <c:ptCount val="10"/>
                      <c:pt idx="1">
                        <c:v>12.817834201991392</c:v>
                      </c:pt>
                      <c:pt idx="2">
                        <c:v>9.9450870621166594</c:v>
                      </c:pt>
                      <c:pt idx="3">
                        <c:v>9.5198422761966306</c:v>
                      </c:pt>
                      <c:pt idx="4">
                        <c:v>11.733983615253138</c:v>
                      </c:pt>
                      <c:pt idx="5">
                        <c:v>9.3193975525572625</c:v>
                      </c:pt>
                      <c:pt idx="6">
                        <c:v>7.2485291364314612</c:v>
                      </c:pt>
                      <c:pt idx="7">
                        <c:v>10.592126879458828</c:v>
                      </c:pt>
                      <c:pt idx="8">
                        <c:v>15.653374969973576</c:v>
                      </c:pt>
                      <c:pt idx="9">
                        <c:v>15.072929254284261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2737-47AD-85A6-B923A1C2D760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Sheet'!$A$23</c15:sqref>
                        </c15:formulaRef>
                      </c:ext>
                    </c:extLst>
                    <c:strCache>
                      <c:ptCount val="1"/>
                      <c:pt idx="0">
                        <c:v>Debtor or RC Days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Sheet'!$B$23:$K$23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1">
                        <c:v>84.714880801183057</c:v>
                      </c:pt>
                      <c:pt idx="2">
                        <c:v>88.558911364426564</c:v>
                      </c:pt>
                      <c:pt idx="3">
                        <c:v>93.745445545915786</c:v>
                      </c:pt>
                      <c:pt idx="4">
                        <c:v>88.827245021736346</c:v>
                      </c:pt>
                      <c:pt idx="5">
                        <c:v>99.301748902054214</c:v>
                      </c:pt>
                      <c:pt idx="6">
                        <c:v>107.39611413239157</c:v>
                      </c:pt>
                      <c:pt idx="7">
                        <c:v>86.027931953497898</c:v>
                      </c:pt>
                      <c:pt idx="8">
                        <c:v>72.932276807823513</c:v>
                      </c:pt>
                      <c:pt idx="9">
                        <c:v>80.522222524883958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737-47AD-85A6-B923A1C2D760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Sheet'!$A$24</c15:sqref>
                        </c15:formulaRef>
                      </c:ext>
                    </c:extLst>
                    <c:strCache>
                      <c:ptCount val="1"/>
                      <c:pt idx="0">
                        <c:v>Inventory Turnover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Sheet'!$B$24:$K$24</c15:sqref>
                        </c15:formulaRef>
                      </c:ext>
                    </c:extLst>
                    <c:numCache>
                      <c:formatCode>#,##0.0\x;\ \(#,##0.0\x\)</c:formatCode>
                      <c:ptCount val="10"/>
                      <c:pt idx="1">
                        <c:v>5.9258580755071435</c:v>
                      </c:pt>
                      <c:pt idx="2">
                        <c:v>5.4805421652583224</c:v>
                      </c:pt>
                      <c:pt idx="3">
                        <c:v>5.2756188231027279</c:v>
                      </c:pt>
                      <c:pt idx="4">
                        <c:v>6.3833051452022724</c:v>
                      </c:pt>
                      <c:pt idx="5">
                        <c:v>5.6804510559191517</c:v>
                      </c:pt>
                      <c:pt idx="6">
                        <c:v>4.4144512704983168</c:v>
                      </c:pt>
                      <c:pt idx="7">
                        <c:v>5.0341333996152766</c:v>
                      </c:pt>
                      <c:pt idx="8">
                        <c:v>6.0820611375201779</c:v>
                      </c:pt>
                      <c:pt idx="9">
                        <c:v>5.9384864248818952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2737-47AD-85A6-B923A1C2D760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Sheet'!$A$25</c15:sqref>
                        </c15:formulaRef>
                      </c:ext>
                    </c:extLst>
                    <c:strCache>
                      <c:ptCount val="1"/>
                      <c:pt idx="0">
                        <c:v>Debt To Equity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Sheet'!$B$25:$K$25</c15:sqref>
                        </c15:formulaRef>
                      </c:ext>
                    </c:extLst>
                    <c:numCache>
                      <c:formatCode>#,##0.0\x;\ \(#,##0.0\x\)</c:formatCode>
                      <c:ptCount val="10"/>
                      <c:pt idx="0">
                        <c:v>0.67710774037078147</c:v>
                      </c:pt>
                      <c:pt idx="1">
                        <c:v>0.45018385366653391</c:v>
                      </c:pt>
                      <c:pt idx="2">
                        <c:v>0.29400069490020458</c:v>
                      </c:pt>
                      <c:pt idx="3">
                        <c:v>0.32711933228062257</c:v>
                      </c:pt>
                      <c:pt idx="4">
                        <c:v>0.21065063166912018</c:v>
                      </c:pt>
                      <c:pt idx="5">
                        <c:v>0.31852747271589382</c:v>
                      </c:pt>
                      <c:pt idx="6">
                        <c:v>0.23208671544529552</c:v>
                      </c:pt>
                      <c:pt idx="7">
                        <c:v>0.20941214880803158</c:v>
                      </c:pt>
                      <c:pt idx="8">
                        <c:v>0.16823094361895735</c:v>
                      </c:pt>
                      <c:pt idx="9">
                        <c:v>0.12269247041099565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2737-47AD-85A6-B923A1C2D760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Sheet'!$A$26</c15:sqref>
                        </c15:formulaRef>
                      </c:ext>
                    </c:extLst>
                    <c:strCache>
                      <c:ptCount val="1"/>
                      <c:pt idx="0">
                        <c:v>Return on average Equity (RoAE)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Sheet'!$B$26:$K$26</c15:sqref>
                        </c15:formulaRef>
                      </c:ext>
                    </c:extLst>
                    <c:numCache>
                      <c:formatCode>0.0%;\ \(0.0%\)</c:formatCode>
                      <c:ptCount val="10"/>
                      <c:pt idx="1">
                        <c:v>0.1518926598263611</c:v>
                      </c:pt>
                      <c:pt idx="2">
                        <c:v>0.18650201580902201</c:v>
                      </c:pt>
                      <c:pt idx="3">
                        <c:v>0.13499535994254658</c:v>
                      </c:pt>
                      <c:pt idx="4">
                        <c:v>0.11776925673628741</c:v>
                      </c:pt>
                      <c:pt idx="5">
                        <c:v>0.11410840932117453</c:v>
                      </c:pt>
                      <c:pt idx="6">
                        <c:v>0.12509986554687377</c:v>
                      </c:pt>
                      <c:pt idx="7">
                        <c:v>0.16484790111565936</c:v>
                      </c:pt>
                      <c:pt idx="8">
                        <c:v>0.32276382850577734</c:v>
                      </c:pt>
                      <c:pt idx="9">
                        <c:v>0.26996006759553248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2737-47AD-85A6-B923A1C2D760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Sheet'!$A$27</c15:sqref>
                        </c15:formulaRef>
                      </c:ext>
                    </c:extLst>
                    <c:strCache>
                      <c:ptCount val="1"/>
                      <c:pt idx="0">
                        <c:v>Return on average Capital Employed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Sheet'!$B$27:$K$27</c15:sqref>
                        </c15:formulaRef>
                      </c:ext>
                    </c:extLst>
                    <c:numCache>
                      <c:formatCode>0.0%;\ \(0.0%\)</c:formatCode>
                      <c:ptCount val="10"/>
                      <c:pt idx="1">
                        <c:v>0.28645922171592847</c:v>
                      </c:pt>
                      <c:pt idx="2">
                        <c:v>0.31322432932290595</c:v>
                      </c:pt>
                      <c:pt idx="3">
                        <c:v>0.27091395401775498</c:v>
                      </c:pt>
                      <c:pt idx="4">
                        <c:v>0.30025662667482239</c:v>
                      </c:pt>
                      <c:pt idx="5">
                        <c:v>0.28296844622897971</c:v>
                      </c:pt>
                      <c:pt idx="6">
                        <c:v>0.2237868988137206</c:v>
                      </c:pt>
                      <c:pt idx="7">
                        <c:v>0.26995195788088189</c:v>
                      </c:pt>
                      <c:pt idx="8">
                        <c:v>0.51148272683826046</c:v>
                      </c:pt>
                      <c:pt idx="9">
                        <c:v>0.44163470774638264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737-47AD-85A6-B923A1C2D76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'Balance Sheet'!$A$9</c:f>
              <c:strCache>
                <c:ptCount val="1"/>
                <c:pt idx="0">
                  <c:v>Fixed Assets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'Balance Sheet'!$B$2:$K$2</c:f>
              <c:numCache>
                <c:formatCode>[$-409]mmm\-yy;@</c:formatCode>
                <c:ptCount val="10"/>
                <c:pt idx="0">
                  <c:v>42094</c:v>
                </c:pt>
                <c:pt idx="1">
                  <c:v>42460</c:v>
                </c:pt>
                <c:pt idx="2">
                  <c:v>42825</c:v>
                </c:pt>
                <c:pt idx="3">
                  <c:v>43190</c:v>
                </c:pt>
                <c:pt idx="4">
                  <c:v>43555</c:v>
                </c:pt>
                <c:pt idx="5">
                  <c:v>43921</c:v>
                </c:pt>
                <c:pt idx="6">
                  <c:v>44286</c:v>
                </c:pt>
                <c:pt idx="7">
                  <c:v>44651</c:v>
                </c:pt>
                <c:pt idx="8">
                  <c:v>45016</c:v>
                </c:pt>
                <c:pt idx="9">
                  <c:v>45382</c:v>
                </c:pt>
              </c:numCache>
            </c:numRef>
          </c:cat>
          <c:val>
            <c:numRef>
              <c:f>'Balance Sheet'!$B$9:$K$9</c:f>
              <c:numCache>
                <c:formatCode>#,##0;\ \(#,##0\)</c:formatCode>
                <c:ptCount val="10"/>
                <c:pt idx="0">
                  <c:v>394.56</c:v>
                </c:pt>
                <c:pt idx="1">
                  <c:v>397.85</c:v>
                </c:pt>
                <c:pt idx="2">
                  <c:v>573.87</c:v>
                </c:pt>
                <c:pt idx="3">
                  <c:v>648.52</c:v>
                </c:pt>
                <c:pt idx="4">
                  <c:v>708.84</c:v>
                </c:pt>
                <c:pt idx="5">
                  <c:v>884.66</c:v>
                </c:pt>
                <c:pt idx="6">
                  <c:v>877.91</c:v>
                </c:pt>
                <c:pt idx="7">
                  <c:v>881.24</c:v>
                </c:pt>
                <c:pt idx="8">
                  <c:v>950.48</c:v>
                </c:pt>
                <c:pt idx="9">
                  <c:v>1192.83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37-47AD-85A6-B923A1C2D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804456"/>
        <c:axId val="589807408"/>
      </c:lineChart>
      <c:catAx>
        <c:axId val="91729693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298904"/>
        <c:crosses val="autoZero"/>
        <c:auto val="0"/>
        <c:lblAlgn val="ctr"/>
        <c:lblOffset val="100"/>
        <c:noMultiLvlLbl val="0"/>
      </c:catAx>
      <c:valAx>
        <c:axId val="917298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 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296936"/>
        <c:crosses val="autoZero"/>
        <c:crossBetween val="between"/>
      </c:valAx>
      <c:valAx>
        <c:axId val="589807408"/>
        <c:scaling>
          <c:orientation val="minMax"/>
        </c:scaling>
        <c:delete val="0"/>
        <c:axPos val="r"/>
        <c:numFmt formatCode="#,##0;\ 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804456"/>
        <c:crosses val="max"/>
        <c:crossBetween val="between"/>
      </c:valAx>
      <c:dateAx>
        <c:axId val="589804456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589807408"/>
        <c:crosses val="autoZero"/>
        <c:auto val="1"/>
        <c:lblOffset val="100"/>
        <c:baseTimeUnit val="year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764656941883422E-2"/>
          <c:y val="0.84513320090855371"/>
          <c:w val="0.92179134664516071"/>
          <c:h val="0.108612816278402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/>
              <a:t>QoQ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QTR!$A$3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4B8-4438-87F1-293923A5A636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B8-4438-87F1-293923A5A636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4B8-4438-87F1-293923A5A636}"/>
              </c:ext>
            </c:extLst>
          </c:dPt>
          <c:cat>
            <c:numRef>
              <c:f>QTR!$B$2:$K$2</c:f>
              <c:numCache>
                <c:formatCode>[$-409]mmm\-yy;@</c:formatCode>
                <c:ptCount val="10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  <c:pt idx="6">
                  <c:v>45382</c:v>
                </c:pt>
                <c:pt idx="7">
                  <c:v>45473</c:v>
                </c:pt>
                <c:pt idx="8">
                  <c:v>45565</c:v>
                </c:pt>
                <c:pt idx="9">
                  <c:v>45657</c:v>
                </c:pt>
              </c:numCache>
            </c:numRef>
          </c:cat>
          <c:val>
            <c:numRef>
              <c:f>QTR!$B$3:$K$3</c:f>
              <c:numCache>
                <c:formatCode>#,##0;\ \(#,##0\)</c:formatCode>
                <c:ptCount val="10"/>
                <c:pt idx="0">
                  <c:v>3234.88</c:v>
                </c:pt>
                <c:pt idx="1">
                  <c:v>3938.92</c:v>
                </c:pt>
                <c:pt idx="2">
                  <c:v>4084.33</c:v>
                </c:pt>
                <c:pt idx="3">
                  <c:v>3767.09</c:v>
                </c:pt>
                <c:pt idx="4">
                  <c:v>3925.46</c:v>
                </c:pt>
                <c:pt idx="5">
                  <c:v>4008.53</c:v>
                </c:pt>
                <c:pt idx="6">
                  <c:v>4455.1099999999997</c:v>
                </c:pt>
                <c:pt idx="7">
                  <c:v>4010.52</c:v>
                </c:pt>
                <c:pt idx="8">
                  <c:v>4644.51</c:v>
                </c:pt>
                <c:pt idx="9">
                  <c:v>4716.42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5-4F0D-BF86-0F7A3AEA3F92}"/>
            </c:ext>
          </c:extLst>
        </c:ser>
        <c:ser>
          <c:idx val="8"/>
          <c:order val="8"/>
          <c:tx>
            <c:strRef>
              <c:f>QTR!$A$11</c:f>
              <c:strCache>
                <c:ptCount val="1"/>
                <c:pt idx="0">
                  <c:v>PAT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QTR!$B$2:$K$2</c:f>
              <c:numCache>
                <c:formatCode>[$-409]mmm\-yy;@</c:formatCode>
                <c:ptCount val="10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  <c:pt idx="6">
                  <c:v>45382</c:v>
                </c:pt>
                <c:pt idx="7">
                  <c:v>45473</c:v>
                </c:pt>
                <c:pt idx="8">
                  <c:v>45565</c:v>
                </c:pt>
                <c:pt idx="9">
                  <c:v>45657</c:v>
                </c:pt>
              </c:numCache>
            </c:numRef>
          </c:cat>
          <c:val>
            <c:numRef>
              <c:f>QTR!$B$11:$K$11</c:f>
              <c:numCache>
                <c:formatCode>#,##0;\ \(#,##0\)</c:formatCode>
                <c:ptCount val="10"/>
                <c:pt idx="0">
                  <c:v>102.62999999999997</c:v>
                </c:pt>
                <c:pt idx="1">
                  <c:v>169.90000000000006</c:v>
                </c:pt>
                <c:pt idx="2">
                  <c:v>242.73000000000005</c:v>
                </c:pt>
                <c:pt idx="3">
                  <c:v>197.42999999999998</c:v>
                </c:pt>
                <c:pt idx="4">
                  <c:v>173.88</c:v>
                </c:pt>
                <c:pt idx="5">
                  <c:v>217.57</c:v>
                </c:pt>
                <c:pt idx="6">
                  <c:v>236.22</c:v>
                </c:pt>
                <c:pt idx="7">
                  <c:v>202.54</c:v>
                </c:pt>
                <c:pt idx="8">
                  <c:v>193.88000000000002</c:v>
                </c:pt>
                <c:pt idx="9">
                  <c:v>174.92000000000002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C5-4F0D-BF86-0F7A3AEA3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9089928"/>
        <c:axId val="6390882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QTR!$A$4</c15:sqref>
                        </c15:formulaRef>
                      </c:ext>
                    </c:extLst>
                    <c:strCache>
                      <c:ptCount val="1"/>
                      <c:pt idx="0">
                        <c:v>Operating Profit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QTR!$B$2:$K$2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44834</c:v>
                      </c:pt>
                      <c:pt idx="1">
                        <c:v>44926</c:v>
                      </c:pt>
                      <c:pt idx="2">
                        <c:v>45016</c:v>
                      </c:pt>
                      <c:pt idx="3">
                        <c:v>45107</c:v>
                      </c:pt>
                      <c:pt idx="4">
                        <c:v>45199</c:v>
                      </c:pt>
                      <c:pt idx="5">
                        <c:v>45291</c:v>
                      </c:pt>
                      <c:pt idx="6">
                        <c:v>45382</c:v>
                      </c:pt>
                      <c:pt idx="7">
                        <c:v>45473</c:v>
                      </c:pt>
                      <c:pt idx="8">
                        <c:v>45565</c:v>
                      </c:pt>
                      <c:pt idx="9">
                        <c:v>45657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QTR!$B$4:$K$4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225.88</c:v>
                      </c:pt>
                      <c:pt idx="1">
                        <c:v>343.22</c:v>
                      </c:pt>
                      <c:pt idx="2">
                        <c:v>423.89</c:v>
                      </c:pt>
                      <c:pt idx="3">
                        <c:v>346.12</c:v>
                      </c:pt>
                      <c:pt idx="4">
                        <c:v>349.26</c:v>
                      </c:pt>
                      <c:pt idx="5">
                        <c:v>404.96</c:v>
                      </c:pt>
                      <c:pt idx="6">
                        <c:v>426.71</c:v>
                      </c:pt>
                      <c:pt idx="7">
                        <c:v>375.63</c:v>
                      </c:pt>
                      <c:pt idx="8">
                        <c:v>356.54</c:v>
                      </c:pt>
                      <c:pt idx="9">
                        <c:v>356.02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46C5-4F0D-BF86-0F7A3AEA3F9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QTR!$A$5</c15:sqref>
                        </c15:formulaRef>
                      </c:ext>
                    </c:extLst>
                    <c:strCache>
                      <c:ptCount val="1"/>
                      <c:pt idx="0">
                        <c:v>Other Income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44834</c:v>
                      </c:pt>
                      <c:pt idx="1">
                        <c:v>44926</c:v>
                      </c:pt>
                      <c:pt idx="2">
                        <c:v>45016</c:v>
                      </c:pt>
                      <c:pt idx="3">
                        <c:v>45107</c:v>
                      </c:pt>
                      <c:pt idx="4">
                        <c:v>45199</c:v>
                      </c:pt>
                      <c:pt idx="5">
                        <c:v>45291</c:v>
                      </c:pt>
                      <c:pt idx="6">
                        <c:v>45382</c:v>
                      </c:pt>
                      <c:pt idx="7">
                        <c:v>45473</c:v>
                      </c:pt>
                      <c:pt idx="8">
                        <c:v>45565</c:v>
                      </c:pt>
                      <c:pt idx="9">
                        <c:v>45657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QTR!$B$5:$K$5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12.22</c:v>
                      </c:pt>
                      <c:pt idx="1">
                        <c:v>6.63</c:v>
                      </c:pt>
                      <c:pt idx="2">
                        <c:v>10.68</c:v>
                      </c:pt>
                      <c:pt idx="3">
                        <c:v>13.86</c:v>
                      </c:pt>
                      <c:pt idx="4">
                        <c:v>18.760000000000002</c:v>
                      </c:pt>
                      <c:pt idx="5">
                        <c:v>21</c:v>
                      </c:pt>
                      <c:pt idx="6">
                        <c:v>27.46</c:v>
                      </c:pt>
                      <c:pt idx="7">
                        <c:v>16.22</c:v>
                      </c:pt>
                      <c:pt idx="8">
                        <c:v>32.81</c:v>
                      </c:pt>
                      <c:pt idx="9">
                        <c:v>34.18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6C5-4F0D-BF86-0F7A3AEA3F9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QTR!$A$6</c15:sqref>
                        </c15:formulaRef>
                      </c:ext>
                    </c:extLst>
                    <c:strCache>
                      <c:ptCount val="1"/>
                      <c:pt idx="0">
                        <c:v>EBITDA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44834</c:v>
                      </c:pt>
                      <c:pt idx="1">
                        <c:v>44926</c:v>
                      </c:pt>
                      <c:pt idx="2">
                        <c:v>45016</c:v>
                      </c:pt>
                      <c:pt idx="3">
                        <c:v>45107</c:v>
                      </c:pt>
                      <c:pt idx="4">
                        <c:v>45199</c:v>
                      </c:pt>
                      <c:pt idx="5">
                        <c:v>45291</c:v>
                      </c:pt>
                      <c:pt idx="6">
                        <c:v>45382</c:v>
                      </c:pt>
                      <c:pt idx="7">
                        <c:v>45473</c:v>
                      </c:pt>
                      <c:pt idx="8">
                        <c:v>45565</c:v>
                      </c:pt>
                      <c:pt idx="9">
                        <c:v>45657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QTR!$B$6:$K$6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238.1</c:v>
                      </c:pt>
                      <c:pt idx="1">
                        <c:v>349.85</c:v>
                      </c:pt>
                      <c:pt idx="2">
                        <c:v>434.57</c:v>
                      </c:pt>
                      <c:pt idx="3">
                        <c:v>359.98</c:v>
                      </c:pt>
                      <c:pt idx="4">
                        <c:v>368.02</c:v>
                      </c:pt>
                      <c:pt idx="5">
                        <c:v>425.96</c:v>
                      </c:pt>
                      <c:pt idx="6">
                        <c:v>454.16999999999996</c:v>
                      </c:pt>
                      <c:pt idx="7">
                        <c:v>391.85</c:v>
                      </c:pt>
                      <c:pt idx="8">
                        <c:v>389.35</c:v>
                      </c:pt>
                      <c:pt idx="9">
                        <c:v>390.2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6C5-4F0D-BF86-0F7A3AEA3F9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QTR!$A$7</c15:sqref>
                        </c15:formulaRef>
                      </c:ext>
                    </c:extLst>
                    <c:strCache>
                      <c:ptCount val="1"/>
                      <c:pt idx="0">
                        <c:v>Interest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44834</c:v>
                      </c:pt>
                      <c:pt idx="1">
                        <c:v>44926</c:v>
                      </c:pt>
                      <c:pt idx="2">
                        <c:v>45016</c:v>
                      </c:pt>
                      <c:pt idx="3">
                        <c:v>45107</c:v>
                      </c:pt>
                      <c:pt idx="4">
                        <c:v>45199</c:v>
                      </c:pt>
                      <c:pt idx="5">
                        <c:v>45291</c:v>
                      </c:pt>
                      <c:pt idx="6">
                        <c:v>45382</c:v>
                      </c:pt>
                      <c:pt idx="7">
                        <c:v>45473</c:v>
                      </c:pt>
                      <c:pt idx="8">
                        <c:v>45565</c:v>
                      </c:pt>
                      <c:pt idx="9">
                        <c:v>45657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QTR!$B$7:$K$7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-71.14</c:v>
                      </c:pt>
                      <c:pt idx="1">
                        <c:v>-93.96</c:v>
                      </c:pt>
                      <c:pt idx="2">
                        <c:v>-79.09</c:v>
                      </c:pt>
                      <c:pt idx="3">
                        <c:v>-69.599999999999994</c:v>
                      </c:pt>
                      <c:pt idx="4">
                        <c:v>-103.08</c:v>
                      </c:pt>
                      <c:pt idx="5">
                        <c:v>-112.82</c:v>
                      </c:pt>
                      <c:pt idx="6">
                        <c:v>-101.08</c:v>
                      </c:pt>
                      <c:pt idx="7">
                        <c:v>-90.35</c:v>
                      </c:pt>
                      <c:pt idx="8">
                        <c:v>-100.56</c:v>
                      </c:pt>
                      <c:pt idx="9">
                        <c:v>-118.35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6C5-4F0D-BF86-0F7A3AEA3F92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QTR!$A$8</c15:sqref>
                        </c15:formulaRef>
                      </c:ext>
                    </c:extLst>
                    <c:strCache>
                      <c:ptCount val="1"/>
                      <c:pt idx="0">
                        <c:v>Depreciation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44834</c:v>
                      </c:pt>
                      <c:pt idx="1">
                        <c:v>44926</c:v>
                      </c:pt>
                      <c:pt idx="2">
                        <c:v>45016</c:v>
                      </c:pt>
                      <c:pt idx="3">
                        <c:v>45107</c:v>
                      </c:pt>
                      <c:pt idx="4">
                        <c:v>45199</c:v>
                      </c:pt>
                      <c:pt idx="5">
                        <c:v>45291</c:v>
                      </c:pt>
                      <c:pt idx="6">
                        <c:v>45382</c:v>
                      </c:pt>
                      <c:pt idx="7">
                        <c:v>45473</c:v>
                      </c:pt>
                      <c:pt idx="8">
                        <c:v>45565</c:v>
                      </c:pt>
                      <c:pt idx="9">
                        <c:v>45657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QTR!$B$8:$K$8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-26.05</c:v>
                      </c:pt>
                      <c:pt idx="1">
                        <c:v>-26.08</c:v>
                      </c:pt>
                      <c:pt idx="2">
                        <c:v>-27.28</c:v>
                      </c:pt>
                      <c:pt idx="3">
                        <c:v>-27.23</c:v>
                      </c:pt>
                      <c:pt idx="4">
                        <c:v>-28.17</c:v>
                      </c:pt>
                      <c:pt idx="5">
                        <c:v>-28.84</c:v>
                      </c:pt>
                      <c:pt idx="6">
                        <c:v>-31.47</c:v>
                      </c:pt>
                      <c:pt idx="7">
                        <c:v>-31.11</c:v>
                      </c:pt>
                      <c:pt idx="8">
                        <c:v>-32.06</c:v>
                      </c:pt>
                      <c:pt idx="9">
                        <c:v>-33.369999999999997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6C5-4F0D-BF86-0F7A3AEA3F92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QTR!$A$9</c15:sqref>
                        </c15:formulaRef>
                      </c:ext>
                    </c:extLst>
                    <c:strCache>
                      <c:ptCount val="1"/>
                      <c:pt idx="0">
                        <c:v>Profit before tax (PBT)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44834</c:v>
                      </c:pt>
                      <c:pt idx="1">
                        <c:v>44926</c:v>
                      </c:pt>
                      <c:pt idx="2">
                        <c:v>45016</c:v>
                      </c:pt>
                      <c:pt idx="3">
                        <c:v>45107</c:v>
                      </c:pt>
                      <c:pt idx="4">
                        <c:v>45199</c:v>
                      </c:pt>
                      <c:pt idx="5">
                        <c:v>45291</c:v>
                      </c:pt>
                      <c:pt idx="6">
                        <c:v>45382</c:v>
                      </c:pt>
                      <c:pt idx="7">
                        <c:v>45473</c:v>
                      </c:pt>
                      <c:pt idx="8">
                        <c:v>45565</c:v>
                      </c:pt>
                      <c:pt idx="9">
                        <c:v>45657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QTR!$B$9:$K$9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140.90999999999997</c:v>
                      </c:pt>
                      <c:pt idx="1">
                        <c:v>229.81000000000006</c:v>
                      </c:pt>
                      <c:pt idx="2">
                        <c:v>328.20000000000005</c:v>
                      </c:pt>
                      <c:pt idx="3">
                        <c:v>263.14999999999998</c:v>
                      </c:pt>
                      <c:pt idx="4">
                        <c:v>236.76999999999998</c:v>
                      </c:pt>
                      <c:pt idx="5">
                        <c:v>284.3</c:v>
                      </c:pt>
                      <c:pt idx="6">
                        <c:v>321.62</c:v>
                      </c:pt>
                      <c:pt idx="7">
                        <c:v>270.39</c:v>
                      </c:pt>
                      <c:pt idx="8">
                        <c:v>256.73</c:v>
                      </c:pt>
                      <c:pt idx="9">
                        <c:v>238.48000000000002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6C5-4F0D-BF86-0F7A3AEA3F92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QTR!$A$10</c15:sqref>
                        </c15:formulaRef>
                      </c:ext>
                    </c:extLst>
                    <c:strCache>
                      <c:ptCount val="1"/>
                      <c:pt idx="0">
                        <c:v>Tax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44834</c:v>
                      </c:pt>
                      <c:pt idx="1">
                        <c:v>44926</c:v>
                      </c:pt>
                      <c:pt idx="2">
                        <c:v>45016</c:v>
                      </c:pt>
                      <c:pt idx="3">
                        <c:v>45107</c:v>
                      </c:pt>
                      <c:pt idx="4">
                        <c:v>45199</c:v>
                      </c:pt>
                      <c:pt idx="5">
                        <c:v>45291</c:v>
                      </c:pt>
                      <c:pt idx="6">
                        <c:v>45382</c:v>
                      </c:pt>
                      <c:pt idx="7">
                        <c:v>45473</c:v>
                      </c:pt>
                      <c:pt idx="8">
                        <c:v>45565</c:v>
                      </c:pt>
                      <c:pt idx="9">
                        <c:v>45657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QTR!$B$10:$K$10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-38.28</c:v>
                      </c:pt>
                      <c:pt idx="1">
                        <c:v>-59.91</c:v>
                      </c:pt>
                      <c:pt idx="2">
                        <c:v>-85.47</c:v>
                      </c:pt>
                      <c:pt idx="3">
                        <c:v>-65.72</c:v>
                      </c:pt>
                      <c:pt idx="4">
                        <c:v>-62.89</c:v>
                      </c:pt>
                      <c:pt idx="5">
                        <c:v>-66.73</c:v>
                      </c:pt>
                      <c:pt idx="6">
                        <c:v>-85.4</c:v>
                      </c:pt>
                      <c:pt idx="7">
                        <c:v>-67.849999999999994</c:v>
                      </c:pt>
                      <c:pt idx="8">
                        <c:v>-62.85</c:v>
                      </c:pt>
                      <c:pt idx="9">
                        <c:v>-63.56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6C5-4F0D-BF86-0F7A3AEA3F92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QTR!$A$12</c15:sqref>
                        </c15:formulaRef>
                      </c:ext>
                    </c:extLst>
                    <c:strCache>
                      <c:ptCount val="1"/>
                      <c:pt idx="0">
                        <c:v>EPS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44834</c:v>
                      </c:pt>
                      <c:pt idx="1">
                        <c:v>44926</c:v>
                      </c:pt>
                      <c:pt idx="2">
                        <c:v>45016</c:v>
                      </c:pt>
                      <c:pt idx="3">
                        <c:v>45107</c:v>
                      </c:pt>
                      <c:pt idx="4">
                        <c:v>45199</c:v>
                      </c:pt>
                      <c:pt idx="5">
                        <c:v>45291</c:v>
                      </c:pt>
                      <c:pt idx="6">
                        <c:v>45382</c:v>
                      </c:pt>
                      <c:pt idx="7">
                        <c:v>45473</c:v>
                      </c:pt>
                      <c:pt idx="8">
                        <c:v>45565</c:v>
                      </c:pt>
                      <c:pt idx="9">
                        <c:v>45657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QTR!$B$12:$K$12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6C5-4F0D-BF86-0F7A3AEA3F92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44834</c:v>
                      </c:pt>
                      <c:pt idx="1">
                        <c:v>44926</c:v>
                      </c:pt>
                      <c:pt idx="2">
                        <c:v>45016</c:v>
                      </c:pt>
                      <c:pt idx="3">
                        <c:v>45107</c:v>
                      </c:pt>
                      <c:pt idx="4">
                        <c:v>45199</c:v>
                      </c:pt>
                      <c:pt idx="5">
                        <c:v>45291</c:v>
                      </c:pt>
                      <c:pt idx="6">
                        <c:v>45382</c:v>
                      </c:pt>
                      <c:pt idx="7">
                        <c:v>45473</c:v>
                      </c:pt>
                      <c:pt idx="8">
                        <c:v>45565</c:v>
                      </c:pt>
                      <c:pt idx="9">
                        <c:v>45657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QTR!$B$13:$K$13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6C5-4F0D-BF86-0F7A3AEA3F92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44834</c:v>
                      </c:pt>
                      <c:pt idx="1">
                        <c:v>44926</c:v>
                      </c:pt>
                      <c:pt idx="2">
                        <c:v>45016</c:v>
                      </c:pt>
                      <c:pt idx="3">
                        <c:v>45107</c:v>
                      </c:pt>
                      <c:pt idx="4">
                        <c:v>45199</c:v>
                      </c:pt>
                      <c:pt idx="5">
                        <c:v>45291</c:v>
                      </c:pt>
                      <c:pt idx="6">
                        <c:v>45382</c:v>
                      </c:pt>
                      <c:pt idx="7">
                        <c:v>45473</c:v>
                      </c:pt>
                      <c:pt idx="8">
                        <c:v>45565</c:v>
                      </c:pt>
                      <c:pt idx="9">
                        <c:v>45657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QTR!$B$14:$K$14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46C5-4F0D-BF86-0F7A3AEA3F9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2"/>
          <c:order val="12"/>
          <c:tx>
            <c:strRef>
              <c:f>QTR!$A$15</c:f>
              <c:strCache>
                <c:ptCount val="1"/>
                <c:pt idx="0">
                  <c:v>OPM %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QTR!$B$2:$K$2</c:f>
              <c:numCache>
                <c:formatCode>[$-409]mmm\-yy;@</c:formatCode>
                <c:ptCount val="10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  <c:pt idx="6">
                  <c:v>45382</c:v>
                </c:pt>
                <c:pt idx="7">
                  <c:v>45473</c:v>
                </c:pt>
                <c:pt idx="8">
                  <c:v>45565</c:v>
                </c:pt>
                <c:pt idx="9">
                  <c:v>45657</c:v>
                </c:pt>
              </c:numCache>
            </c:numRef>
          </c:cat>
          <c:val>
            <c:numRef>
              <c:f>QTR!$B$15:$K$15</c:f>
              <c:numCache>
                <c:formatCode>0.0%;\ \(0.0%\)</c:formatCode>
                <c:ptCount val="10"/>
                <c:pt idx="0">
                  <c:v>6.9826392323671965E-2</c:v>
                </c:pt>
                <c:pt idx="1">
                  <c:v>8.7135560001218609E-2</c:v>
                </c:pt>
                <c:pt idx="2">
                  <c:v>0.10378446403694118</c:v>
                </c:pt>
                <c:pt idx="3">
                  <c:v>9.1879939157280557E-2</c:v>
                </c:pt>
                <c:pt idx="4">
                  <c:v>8.8973012080112907E-2</c:v>
                </c:pt>
                <c:pt idx="5">
                  <c:v>0.10102456511489248</c:v>
                </c:pt>
                <c:pt idx="6">
                  <c:v>9.5779902179744164E-2</c:v>
                </c:pt>
                <c:pt idx="7">
                  <c:v>9.366117111995452E-2</c:v>
                </c:pt>
                <c:pt idx="8">
                  <c:v>7.6765902108080292E-2</c:v>
                </c:pt>
                <c:pt idx="9">
                  <c:v>7.5485219721738092E-2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C5-4F0D-BF86-0F7A3AEA3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719512"/>
        <c:axId val="766716888"/>
      </c:lineChart>
      <c:catAx>
        <c:axId val="63908992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088288"/>
        <c:crosses val="autoZero"/>
        <c:auto val="0"/>
        <c:lblAlgn val="ctr"/>
        <c:lblOffset val="100"/>
        <c:noMultiLvlLbl val="0"/>
      </c:catAx>
      <c:valAx>
        <c:axId val="63908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 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089928"/>
        <c:crosses val="autoZero"/>
        <c:crossBetween val="between"/>
      </c:valAx>
      <c:valAx>
        <c:axId val="766716888"/>
        <c:scaling>
          <c:orientation val="minMax"/>
        </c:scaling>
        <c:delete val="0"/>
        <c:axPos val="r"/>
        <c:numFmt formatCode="0.0%;\ \(0.0%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19512"/>
        <c:crosses val="max"/>
        <c:crossBetween val="between"/>
      </c:valAx>
      <c:dateAx>
        <c:axId val="766719512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7667168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/>
              <a:t>YoY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23982208521334"/>
          <c:y val="9.6623109379850719E-2"/>
          <c:w val="0.78535709065761106"/>
          <c:h val="0.672702074801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'P&amp;L'!$A$3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'P&amp;L'!$B$2:$K$2</c:f>
              <c:numCache>
                <c:formatCode>[$-409]mmm\-yy;@</c:formatCode>
                <c:ptCount val="10"/>
                <c:pt idx="0">
                  <c:v>42094</c:v>
                </c:pt>
                <c:pt idx="1">
                  <c:v>42460</c:v>
                </c:pt>
                <c:pt idx="2">
                  <c:v>42825</c:v>
                </c:pt>
                <c:pt idx="3">
                  <c:v>43190</c:v>
                </c:pt>
                <c:pt idx="4">
                  <c:v>43555</c:v>
                </c:pt>
                <c:pt idx="5">
                  <c:v>43921</c:v>
                </c:pt>
                <c:pt idx="6">
                  <c:v>44286</c:v>
                </c:pt>
                <c:pt idx="7">
                  <c:v>44651</c:v>
                </c:pt>
                <c:pt idx="8">
                  <c:v>45016</c:v>
                </c:pt>
                <c:pt idx="9">
                  <c:v>45382</c:v>
                </c:pt>
              </c:numCache>
            </c:numRef>
          </c:cat>
          <c:val>
            <c:numRef>
              <c:f>'P&amp;L'!$B$3:$K$3</c:f>
              <c:numCache>
                <c:formatCode>#,##0;\ \(#,##0\)</c:formatCode>
                <c:ptCount val="10"/>
                <c:pt idx="0">
                  <c:v>5107.67</c:v>
                </c:pt>
                <c:pt idx="1">
                  <c:v>5078.49</c:v>
                </c:pt>
                <c:pt idx="2">
                  <c:v>4831.92</c:v>
                </c:pt>
                <c:pt idx="3">
                  <c:v>5818.48</c:v>
                </c:pt>
                <c:pt idx="4">
                  <c:v>7963.62</c:v>
                </c:pt>
                <c:pt idx="5">
                  <c:v>7425.23</c:v>
                </c:pt>
                <c:pt idx="6">
                  <c:v>6388.02</c:v>
                </c:pt>
                <c:pt idx="7">
                  <c:v>9316.57</c:v>
                </c:pt>
                <c:pt idx="8">
                  <c:v>14336.3</c:v>
                </c:pt>
                <c:pt idx="9">
                  <c:v>16152.98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E-44E5-B9C4-D25594D3E486}"/>
            </c:ext>
          </c:extLst>
        </c:ser>
        <c:ser>
          <c:idx val="8"/>
          <c:order val="8"/>
          <c:tx>
            <c:strRef>
              <c:f>'P&amp;L'!$A$11</c:f>
              <c:strCache>
                <c:ptCount val="1"/>
                <c:pt idx="0">
                  <c:v>Net Profit / Profit after tax (PAT)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'P&amp;L'!$B$2:$K$2</c:f>
              <c:numCache>
                <c:formatCode>[$-409]mmm\-yy;@</c:formatCode>
                <c:ptCount val="10"/>
                <c:pt idx="0">
                  <c:v>42094</c:v>
                </c:pt>
                <c:pt idx="1">
                  <c:v>42460</c:v>
                </c:pt>
                <c:pt idx="2">
                  <c:v>42825</c:v>
                </c:pt>
                <c:pt idx="3">
                  <c:v>43190</c:v>
                </c:pt>
                <c:pt idx="4">
                  <c:v>43555</c:v>
                </c:pt>
                <c:pt idx="5">
                  <c:v>43921</c:v>
                </c:pt>
                <c:pt idx="6">
                  <c:v>44286</c:v>
                </c:pt>
                <c:pt idx="7">
                  <c:v>44651</c:v>
                </c:pt>
                <c:pt idx="8">
                  <c:v>45016</c:v>
                </c:pt>
                <c:pt idx="9">
                  <c:v>45382</c:v>
                </c:pt>
              </c:numCache>
            </c:numRef>
          </c:cat>
          <c:val>
            <c:numRef>
              <c:f>'P&amp;L'!$B$11:$K$11</c:f>
              <c:numCache>
                <c:formatCode>#,##0;\ \(#,##0\)</c:formatCode>
                <c:ptCount val="10"/>
                <c:pt idx="0">
                  <c:v>49.410000000000167</c:v>
                </c:pt>
                <c:pt idx="1">
                  <c:v>120.27999999999969</c:v>
                </c:pt>
                <c:pt idx="2">
                  <c:v>176.25000000000009</c:v>
                </c:pt>
                <c:pt idx="3">
                  <c:v>144.7399999999993</c:v>
                </c:pt>
                <c:pt idx="4">
                  <c:v>136.0600000000002</c:v>
                </c:pt>
                <c:pt idx="5">
                  <c:v>135.14999999999912</c:v>
                </c:pt>
                <c:pt idx="6">
                  <c:v>160.50000000000037</c:v>
                </c:pt>
                <c:pt idx="7">
                  <c:v>256.73</c:v>
                </c:pt>
                <c:pt idx="8">
                  <c:v>637.71999999999991</c:v>
                </c:pt>
                <c:pt idx="9">
                  <c:v>825.10999999999945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E-44E5-B9C4-D25594D3E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1655968"/>
        <c:axId val="59165760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'P&amp;L'!$A$4</c15:sqref>
                        </c15:formulaRef>
                      </c:ext>
                    </c:extLst>
                    <c:strCache>
                      <c:ptCount val="1"/>
                      <c:pt idx="0">
                        <c:v>Operating Profit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'P&amp;L'!$B$2:$K$2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'P&amp;L'!$B$4:$K$4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264.34000000000015</c:v>
                      </c:pt>
                      <c:pt idx="1">
                        <c:v>380.39999999999964</c:v>
                      </c:pt>
                      <c:pt idx="2">
                        <c:v>433.56000000000017</c:v>
                      </c:pt>
                      <c:pt idx="3">
                        <c:v>425.62999999999931</c:v>
                      </c:pt>
                      <c:pt idx="4">
                        <c:v>491.29000000000019</c:v>
                      </c:pt>
                      <c:pt idx="5">
                        <c:v>495.4899999999991</c:v>
                      </c:pt>
                      <c:pt idx="6">
                        <c:v>439.86000000000035</c:v>
                      </c:pt>
                      <c:pt idx="7">
                        <c:v>577.97</c:v>
                      </c:pt>
                      <c:pt idx="8">
                        <c:v>1267.05</c:v>
                      </c:pt>
                      <c:pt idx="9">
                        <c:v>1567.7399999999993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8F8E-44E5-B9C4-D25594D3E48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'P&amp;L'!$A$5</c15:sqref>
                        </c15:formulaRef>
                      </c:ext>
                    </c:extLst>
                    <c:strCache>
                      <c:ptCount val="1"/>
                      <c:pt idx="0">
                        <c:v>Other Income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'P&amp;L'!$B$5:$K$5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1.23</c:v>
                      </c:pt>
                      <c:pt idx="1">
                        <c:v>10.039999999999999</c:v>
                      </c:pt>
                      <c:pt idx="2">
                        <c:v>15.33</c:v>
                      </c:pt>
                      <c:pt idx="3">
                        <c:v>11.08</c:v>
                      </c:pt>
                      <c:pt idx="4">
                        <c:v>14.72</c:v>
                      </c:pt>
                      <c:pt idx="5">
                        <c:v>15.18</c:v>
                      </c:pt>
                      <c:pt idx="6">
                        <c:v>18.61</c:v>
                      </c:pt>
                      <c:pt idx="7">
                        <c:v>32.61</c:v>
                      </c:pt>
                      <c:pt idx="8">
                        <c:v>35.96</c:v>
                      </c:pt>
                      <c:pt idx="9">
                        <c:v>85.89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8E-44E5-B9C4-D25594D3E48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'P&amp;L'!$A$6</c15:sqref>
                        </c15:formulaRef>
                      </c:ext>
                    </c:extLst>
                    <c:strCache>
                      <c:ptCount val="1"/>
                      <c:pt idx="0">
                        <c:v>EBITDA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'P&amp;L'!$B$6:$K$6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265.57000000000016</c:v>
                      </c:pt>
                      <c:pt idx="1">
                        <c:v>390.43999999999966</c:v>
                      </c:pt>
                      <c:pt idx="2">
                        <c:v>448.89000000000016</c:v>
                      </c:pt>
                      <c:pt idx="3">
                        <c:v>436.7099999999993</c:v>
                      </c:pt>
                      <c:pt idx="4">
                        <c:v>506.01000000000022</c:v>
                      </c:pt>
                      <c:pt idx="5">
                        <c:v>510.66999999999911</c:v>
                      </c:pt>
                      <c:pt idx="6">
                        <c:v>458.47000000000037</c:v>
                      </c:pt>
                      <c:pt idx="7">
                        <c:v>610.58000000000004</c:v>
                      </c:pt>
                      <c:pt idx="8">
                        <c:v>1303.01</c:v>
                      </c:pt>
                      <c:pt idx="9">
                        <c:v>1653.6299999999994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F8E-44E5-B9C4-D25594D3E48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'P&amp;L'!$A$7</c15:sqref>
                        </c15:formulaRef>
                      </c:ext>
                    </c:extLst>
                    <c:strCache>
                      <c:ptCount val="1"/>
                      <c:pt idx="0">
                        <c:v>Interest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'P&amp;L'!$B$7:$K$7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-161.88999999999999</c:v>
                      </c:pt>
                      <c:pt idx="1">
                        <c:v>-175.14</c:v>
                      </c:pt>
                      <c:pt idx="2">
                        <c:v>-130.52000000000001</c:v>
                      </c:pt>
                      <c:pt idx="3">
                        <c:v>-158.07</c:v>
                      </c:pt>
                      <c:pt idx="4">
                        <c:v>-223.12</c:v>
                      </c:pt>
                      <c:pt idx="5">
                        <c:v>-254.14</c:v>
                      </c:pt>
                      <c:pt idx="6">
                        <c:v>-156.76</c:v>
                      </c:pt>
                      <c:pt idx="7">
                        <c:v>-170.74</c:v>
                      </c:pt>
                      <c:pt idx="8">
                        <c:v>-344.11</c:v>
                      </c:pt>
                      <c:pt idx="9">
                        <c:v>-432.07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8E-44E5-B9C4-D25594D3E48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'P&amp;L'!$A$8</c15:sqref>
                        </c15:formulaRef>
                      </c:ext>
                    </c:extLst>
                    <c:strCache>
                      <c:ptCount val="1"/>
                      <c:pt idx="0">
                        <c:v>Depreciation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'P&amp;L'!$B$8:$K$8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-31.21</c:v>
                      </c:pt>
                      <c:pt idx="1">
                        <c:v>-37.76</c:v>
                      </c:pt>
                      <c:pt idx="2">
                        <c:v>-44.97</c:v>
                      </c:pt>
                      <c:pt idx="3">
                        <c:v>-55.87</c:v>
                      </c:pt>
                      <c:pt idx="4">
                        <c:v>-66.67</c:v>
                      </c:pt>
                      <c:pt idx="5">
                        <c:v>-87.12</c:v>
                      </c:pt>
                      <c:pt idx="6">
                        <c:v>-93.44</c:v>
                      </c:pt>
                      <c:pt idx="7">
                        <c:v>-97.84</c:v>
                      </c:pt>
                      <c:pt idx="8">
                        <c:v>-104.34</c:v>
                      </c:pt>
                      <c:pt idx="9">
                        <c:v>-115.71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8E-44E5-B9C4-D25594D3E48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'P&amp;L'!$A$9</c15:sqref>
                        </c15:formulaRef>
                      </c:ext>
                    </c:extLst>
                    <c:strCache>
                      <c:ptCount val="1"/>
                      <c:pt idx="0">
                        <c:v>Profit before tax (PBT)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'P&amp;L'!$B$9:$K$9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72.470000000000169</c:v>
                      </c:pt>
                      <c:pt idx="1">
                        <c:v>177.53999999999968</c:v>
                      </c:pt>
                      <c:pt idx="2">
                        <c:v>273.40000000000009</c:v>
                      </c:pt>
                      <c:pt idx="3">
                        <c:v>222.7699999999993</c:v>
                      </c:pt>
                      <c:pt idx="4">
                        <c:v>216.2200000000002</c:v>
                      </c:pt>
                      <c:pt idx="5">
                        <c:v>169.40999999999912</c:v>
                      </c:pt>
                      <c:pt idx="6">
                        <c:v>208.27000000000038</c:v>
                      </c:pt>
                      <c:pt idx="7">
                        <c:v>342</c:v>
                      </c:pt>
                      <c:pt idx="8">
                        <c:v>854.56</c:v>
                      </c:pt>
                      <c:pt idx="9">
                        <c:v>1105.8499999999995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8E-44E5-B9C4-D25594D3E48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'P&amp;L'!$A$10</c15:sqref>
                        </c15:formulaRef>
                      </c:ext>
                    </c:extLst>
                    <c:strCache>
                      <c:ptCount val="1"/>
                      <c:pt idx="0">
                        <c:v>Tax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'P&amp;L'!$B$10:$K$10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-23.06</c:v>
                      </c:pt>
                      <c:pt idx="1">
                        <c:v>-57.26</c:v>
                      </c:pt>
                      <c:pt idx="2">
                        <c:v>-97.15</c:v>
                      </c:pt>
                      <c:pt idx="3">
                        <c:v>-78.03</c:v>
                      </c:pt>
                      <c:pt idx="4">
                        <c:v>-80.16</c:v>
                      </c:pt>
                      <c:pt idx="5">
                        <c:v>-34.26</c:v>
                      </c:pt>
                      <c:pt idx="6">
                        <c:v>-47.77</c:v>
                      </c:pt>
                      <c:pt idx="7">
                        <c:v>-85.27</c:v>
                      </c:pt>
                      <c:pt idx="8">
                        <c:v>-216.84</c:v>
                      </c:pt>
                      <c:pt idx="9">
                        <c:v>-280.74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8E-44E5-B9C4-D25594D3E48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'P&amp;L'!$A$12</c15:sqref>
                        </c15:formulaRef>
                      </c:ext>
                    </c:extLst>
                    <c:strCache>
                      <c:ptCount val="1"/>
                      <c:pt idx="0">
                        <c:v>EPS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'P&amp;L'!$B$12:$K$12</c15:sqref>
                        </c15:formulaRef>
                      </c:ext>
                    </c:extLst>
                    <c:numCache>
                      <c:formatCode>#,##0.00</c:formatCode>
                      <c:ptCount val="10"/>
                      <c:pt idx="0">
                        <c:v>12.834933045861355</c:v>
                      </c:pt>
                      <c:pt idx="1">
                        <c:v>31.244180518110415</c:v>
                      </c:pt>
                      <c:pt idx="2">
                        <c:v>46.056012630087359</c:v>
                      </c:pt>
                      <c:pt idx="3">
                        <c:v>37.82211215931239</c:v>
                      </c:pt>
                      <c:pt idx="4">
                        <c:v>35.553935196877681</c:v>
                      </c:pt>
                      <c:pt idx="5">
                        <c:v>35.316142450815668</c:v>
                      </c:pt>
                      <c:pt idx="6">
                        <c:v>41.940368948249834</c:v>
                      </c:pt>
                      <c:pt idx="7">
                        <c:v>67.086298567502524</c:v>
                      </c:pt>
                      <c:pt idx="8">
                        <c:v>166.64306595437893</c:v>
                      </c:pt>
                      <c:pt idx="9">
                        <c:v>205.41314715342165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F8E-44E5-B9C4-D25594D3E48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0"/>
          <c:order val="10"/>
          <c:tx>
            <c:strRef>
              <c:f>'P&amp;L'!$A$13</c:f>
              <c:strCache>
                <c:ptCount val="1"/>
                <c:pt idx="0">
                  <c:v>OPM %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'P&amp;L'!$B$2:$K$2</c:f>
              <c:numCache>
                <c:formatCode>[$-409]mmm\-yy;@</c:formatCode>
                <c:ptCount val="10"/>
                <c:pt idx="0">
                  <c:v>42094</c:v>
                </c:pt>
                <c:pt idx="1">
                  <c:v>42460</c:v>
                </c:pt>
                <c:pt idx="2">
                  <c:v>42825</c:v>
                </c:pt>
                <c:pt idx="3">
                  <c:v>43190</c:v>
                </c:pt>
                <c:pt idx="4">
                  <c:v>43555</c:v>
                </c:pt>
                <c:pt idx="5">
                  <c:v>43921</c:v>
                </c:pt>
                <c:pt idx="6">
                  <c:v>44286</c:v>
                </c:pt>
                <c:pt idx="7">
                  <c:v>44651</c:v>
                </c:pt>
                <c:pt idx="8">
                  <c:v>45016</c:v>
                </c:pt>
                <c:pt idx="9">
                  <c:v>45382</c:v>
                </c:pt>
              </c:numCache>
            </c:numRef>
          </c:cat>
          <c:val>
            <c:numRef>
              <c:f>'P&amp;L'!$B$13:$K$13</c:f>
              <c:numCache>
                <c:formatCode>0.0%;\ \(0.0%\)</c:formatCode>
                <c:ptCount val="10"/>
                <c:pt idx="0">
                  <c:v>5.1753539285036058E-2</c:v>
                </c:pt>
                <c:pt idx="1">
                  <c:v>7.4904154581381402E-2</c:v>
                </c:pt>
                <c:pt idx="2">
                  <c:v>8.9728306760045728E-2</c:v>
                </c:pt>
                <c:pt idx="3">
                  <c:v>7.3151407240378816E-2</c:v>
                </c:pt>
                <c:pt idx="4">
                  <c:v>6.1691793430625794E-2</c:v>
                </c:pt>
                <c:pt idx="5">
                  <c:v>6.6730592857056167E-2</c:v>
                </c:pt>
                <c:pt idx="6">
                  <c:v>6.8857016728188128E-2</c:v>
                </c:pt>
                <c:pt idx="7">
                  <c:v>6.2036779630271661E-2</c:v>
                </c:pt>
                <c:pt idx="8">
                  <c:v>8.8380544491953997E-2</c:v>
                </c:pt>
                <c:pt idx="9">
                  <c:v>9.7055775466817845E-2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E-44E5-B9C4-D25594D3E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654328"/>
        <c:axId val="591656296"/>
      </c:lineChart>
      <c:catAx>
        <c:axId val="59165596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657608"/>
        <c:crosses val="autoZero"/>
        <c:auto val="0"/>
        <c:lblAlgn val="ctr"/>
        <c:lblOffset val="100"/>
        <c:noMultiLvlLbl val="0"/>
      </c:catAx>
      <c:valAx>
        <c:axId val="59165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 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655968"/>
        <c:crosses val="autoZero"/>
        <c:crossBetween val="between"/>
      </c:valAx>
      <c:valAx>
        <c:axId val="591656296"/>
        <c:scaling>
          <c:orientation val="minMax"/>
        </c:scaling>
        <c:delete val="0"/>
        <c:axPos val="r"/>
        <c:numFmt formatCode="0.0%;\ \(0.0%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654328"/>
        <c:crosses val="max"/>
        <c:crossBetween val="between"/>
      </c:valAx>
      <c:dateAx>
        <c:axId val="591654328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591656296"/>
        <c:crosses val="autoZero"/>
        <c:auto val="1"/>
        <c:lblOffset val="100"/>
        <c:baseTimeUnit val="year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/>
              <a:t>Balance Sheet</a:t>
            </a:r>
          </a:p>
        </c:rich>
      </c:tx>
      <c:layout>
        <c:manualLayout>
          <c:xMode val="edge"/>
          <c:yMode val="edge"/>
          <c:x val="0.83683788706739526"/>
          <c:y val="1.8862361939021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56392499130379E-3"/>
          <c:y val="0.15113741371712675"/>
          <c:w val="0.96422764227642277"/>
          <c:h val="0.7458532118522924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'Balance Sheet'!$A$4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'Balance Sheet'!$B$2:$K$2</c:f>
              <c:numCache>
                <c:formatCode>[$-409]mmm\-yy;@</c:formatCode>
                <c:ptCount val="10"/>
                <c:pt idx="0">
                  <c:v>42094</c:v>
                </c:pt>
                <c:pt idx="1">
                  <c:v>42460</c:v>
                </c:pt>
                <c:pt idx="2">
                  <c:v>42825</c:v>
                </c:pt>
                <c:pt idx="3">
                  <c:v>43190</c:v>
                </c:pt>
                <c:pt idx="4">
                  <c:v>43555</c:v>
                </c:pt>
                <c:pt idx="5">
                  <c:v>43921</c:v>
                </c:pt>
                <c:pt idx="6">
                  <c:v>44286</c:v>
                </c:pt>
                <c:pt idx="7">
                  <c:v>44651</c:v>
                </c:pt>
                <c:pt idx="8">
                  <c:v>45016</c:v>
                </c:pt>
                <c:pt idx="9">
                  <c:v>45382</c:v>
                </c:pt>
              </c:numCache>
            </c:numRef>
          </c:cat>
          <c:val>
            <c:numRef>
              <c:f>'Balance Sheet'!$B$4:$K$4</c:f>
              <c:numCache>
                <c:formatCode>#,##0;\ \(#,##0\)</c:formatCode>
                <c:ptCount val="10"/>
                <c:pt idx="0">
                  <c:v>691.31</c:v>
                </c:pt>
                <c:pt idx="1">
                  <c:v>815.44</c:v>
                </c:pt>
                <c:pt idx="2">
                  <c:v>997.85</c:v>
                </c:pt>
                <c:pt idx="3">
                  <c:v>1069.98</c:v>
                </c:pt>
                <c:pt idx="4">
                  <c:v>1164.0999999999999</c:v>
                </c:pt>
                <c:pt idx="5">
                  <c:v>1128.1600000000001</c:v>
                </c:pt>
                <c:pt idx="6">
                  <c:v>1361.25</c:v>
                </c:pt>
                <c:pt idx="7">
                  <c:v>1676.96</c:v>
                </c:pt>
                <c:pt idx="8">
                  <c:v>2198.12</c:v>
                </c:pt>
                <c:pt idx="9">
                  <c:v>3836.27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6B-4923-B468-FC5B0EC37B9A}"/>
            </c:ext>
          </c:extLst>
        </c:ser>
        <c:ser>
          <c:idx val="2"/>
          <c:order val="2"/>
          <c:tx>
            <c:strRef>
              <c:f>'Balance Sheet'!$A$5</c:f>
              <c:strCache>
                <c:ptCount val="1"/>
                <c:pt idx="0">
                  <c:v>Borrowings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'Balance Sheet'!$B$2:$K$2</c:f>
              <c:numCache>
                <c:formatCode>[$-409]mmm\-yy;@</c:formatCode>
                <c:ptCount val="10"/>
                <c:pt idx="0">
                  <c:v>42094</c:v>
                </c:pt>
                <c:pt idx="1">
                  <c:v>42460</c:v>
                </c:pt>
                <c:pt idx="2">
                  <c:v>42825</c:v>
                </c:pt>
                <c:pt idx="3">
                  <c:v>43190</c:v>
                </c:pt>
                <c:pt idx="4">
                  <c:v>43555</c:v>
                </c:pt>
                <c:pt idx="5">
                  <c:v>43921</c:v>
                </c:pt>
                <c:pt idx="6">
                  <c:v>44286</c:v>
                </c:pt>
                <c:pt idx="7">
                  <c:v>44651</c:v>
                </c:pt>
                <c:pt idx="8">
                  <c:v>45016</c:v>
                </c:pt>
                <c:pt idx="9">
                  <c:v>45382</c:v>
                </c:pt>
              </c:numCache>
            </c:numRef>
          </c:cat>
          <c:val>
            <c:numRef>
              <c:f>'Balance Sheet'!$B$5:$K$5</c:f>
              <c:numCache>
                <c:formatCode>#,##0;\ \(#,##0\)</c:formatCode>
                <c:ptCount val="10"/>
                <c:pt idx="0" formatCode="General">
                  <c:v>494.16</c:v>
                </c:pt>
                <c:pt idx="1">
                  <c:v>384.43</c:v>
                </c:pt>
                <c:pt idx="2">
                  <c:v>304.62</c:v>
                </c:pt>
                <c:pt idx="3">
                  <c:v>362.53</c:v>
                </c:pt>
                <c:pt idx="4">
                  <c:v>253.28</c:v>
                </c:pt>
                <c:pt idx="5">
                  <c:v>371.54</c:v>
                </c:pt>
                <c:pt idx="6">
                  <c:v>324.81</c:v>
                </c:pt>
                <c:pt idx="7">
                  <c:v>359.19</c:v>
                </c:pt>
                <c:pt idx="8">
                  <c:v>376.23</c:v>
                </c:pt>
                <c:pt idx="9">
                  <c:v>475.61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6B-4923-B468-FC5B0EC37B9A}"/>
            </c:ext>
          </c:extLst>
        </c:ser>
        <c:ser>
          <c:idx val="6"/>
          <c:order val="6"/>
          <c:tx>
            <c:strRef>
              <c:f>'Balance Sheet'!$A$9</c:f>
              <c:strCache>
                <c:ptCount val="1"/>
                <c:pt idx="0">
                  <c:v>Fixed Assets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'Balance Sheet'!$B$2:$K$2</c:f>
              <c:numCache>
                <c:formatCode>[$-409]mmm\-yy;@</c:formatCode>
                <c:ptCount val="10"/>
                <c:pt idx="0">
                  <c:v>42094</c:v>
                </c:pt>
                <c:pt idx="1">
                  <c:v>42460</c:v>
                </c:pt>
                <c:pt idx="2">
                  <c:v>42825</c:v>
                </c:pt>
                <c:pt idx="3">
                  <c:v>43190</c:v>
                </c:pt>
                <c:pt idx="4">
                  <c:v>43555</c:v>
                </c:pt>
                <c:pt idx="5">
                  <c:v>43921</c:v>
                </c:pt>
                <c:pt idx="6">
                  <c:v>44286</c:v>
                </c:pt>
                <c:pt idx="7">
                  <c:v>44651</c:v>
                </c:pt>
                <c:pt idx="8">
                  <c:v>45016</c:v>
                </c:pt>
                <c:pt idx="9">
                  <c:v>45382</c:v>
                </c:pt>
              </c:numCache>
            </c:numRef>
          </c:cat>
          <c:val>
            <c:numRef>
              <c:f>'Balance Sheet'!$B$9:$K$9</c:f>
              <c:numCache>
                <c:formatCode>#,##0;\ \(#,##0\)</c:formatCode>
                <c:ptCount val="10"/>
                <c:pt idx="0">
                  <c:v>394.56</c:v>
                </c:pt>
                <c:pt idx="1">
                  <c:v>397.85</c:v>
                </c:pt>
                <c:pt idx="2">
                  <c:v>573.87</c:v>
                </c:pt>
                <c:pt idx="3">
                  <c:v>648.52</c:v>
                </c:pt>
                <c:pt idx="4">
                  <c:v>708.84</c:v>
                </c:pt>
                <c:pt idx="5">
                  <c:v>884.66</c:v>
                </c:pt>
                <c:pt idx="6">
                  <c:v>877.91</c:v>
                </c:pt>
                <c:pt idx="7">
                  <c:v>881.24</c:v>
                </c:pt>
                <c:pt idx="8">
                  <c:v>950.48</c:v>
                </c:pt>
                <c:pt idx="9">
                  <c:v>1192.83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6B-4923-B468-FC5B0EC37B9A}"/>
            </c:ext>
          </c:extLst>
        </c:ser>
        <c:ser>
          <c:idx val="7"/>
          <c:order val="7"/>
          <c:tx>
            <c:strRef>
              <c:f>'Balance Sheet'!$A$10</c:f>
              <c:strCache>
                <c:ptCount val="1"/>
                <c:pt idx="0">
                  <c:v>CWIP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'Balance Sheet'!$B$2:$K$2</c:f>
              <c:numCache>
                <c:formatCode>[$-409]mmm\-yy;@</c:formatCode>
                <c:ptCount val="10"/>
                <c:pt idx="0">
                  <c:v>42094</c:v>
                </c:pt>
                <c:pt idx="1">
                  <c:v>42460</c:v>
                </c:pt>
                <c:pt idx="2">
                  <c:v>42825</c:v>
                </c:pt>
                <c:pt idx="3">
                  <c:v>43190</c:v>
                </c:pt>
                <c:pt idx="4">
                  <c:v>43555</c:v>
                </c:pt>
                <c:pt idx="5">
                  <c:v>43921</c:v>
                </c:pt>
                <c:pt idx="6">
                  <c:v>44286</c:v>
                </c:pt>
                <c:pt idx="7">
                  <c:v>44651</c:v>
                </c:pt>
                <c:pt idx="8">
                  <c:v>45016</c:v>
                </c:pt>
                <c:pt idx="9">
                  <c:v>45382</c:v>
                </c:pt>
              </c:numCache>
            </c:numRef>
          </c:cat>
          <c:val>
            <c:numRef>
              <c:f>'Balance Sheet'!$B$10:$K$10</c:f>
              <c:numCache>
                <c:formatCode>#,##0;\ \(#,##0\)</c:formatCode>
                <c:ptCount val="10"/>
                <c:pt idx="0">
                  <c:v>10.24</c:v>
                </c:pt>
                <c:pt idx="1">
                  <c:v>56.11</c:v>
                </c:pt>
                <c:pt idx="2">
                  <c:v>27.75</c:v>
                </c:pt>
                <c:pt idx="3">
                  <c:v>19.5</c:v>
                </c:pt>
                <c:pt idx="4">
                  <c:v>103.48</c:v>
                </c:pt>
                <c:pt idx="5">
                  <c:v>54.71</c:v>
                </c:pt>
                <c:pt idx="6">
                  <c:v>28.71</c:v>
                </c:pt>
                <c:pt idx="7">
                  <c:v>38.49</c:v>
                </c:pt>
                <c:pt idx="8">
                  <c:v>99.31</c:v>
                </c:pt>
                <c:pt idx="9">
                  <c:v>122.45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6B-4923-B468-FC5B0EC37B9A}"/>
            </c:ext>
          </c:extLst>
        </c:ser>
        <c:ser>
          <c:idx val="12"/>
          <c:order val="12"/>
          <c:tx>
            <c:strRef>
              <c:f>'Balance Sheet'!$A$15</c:f>
              <c:strCache>
                <c:ptCount val="1"/>
                <c:pt idx="0">
                  <c:v>Receivables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'Balance Sheet'!$B$2:$K$2</c:f>
              <c:numCache>
                <c:formatCode>[$-409]mmm\-yy;@</c:formatCode>
                <c:ptCount val="10"/>
                <c:pt idx="0">
                  <c:v>42094</c:v>
                </c:pt>
                <c:pt idx="1">
                  <c:v>42460</c:v>
                </c:pt>
                <c:pt idx="2">
                  <c:v>42825</c:v>
                </c:pt>
                <c:pt idx="3">
                  <c:v>43190</c:v>
                </c:pt>
                <c:pt idx="4">
                  <c:v>43555</c:v>
                </c:pt>
                <c:pt idx="5">
                  <c:v>43921</c:v>
                </c:pt>
                <c:pt idx="6">
                  <c:v>44286</c:v>
                </c:pt>
                <c:pt idx="7">
                  <c:v>44651</c:v>
                </c:pt>
                <c:pt idx="8">
                  <c:v>45016</c:v>
                </c:pt>
                <c:pt idx="9">
                  <c:v>45382</c:v>
                </c:pt>
              </c:numCache>
            </c:numRef>
          </c:cat>
          <c:val>
            <c:numRef>
              <c:f>'Balance Sheet'!$B$15:$K$15</c:f>
              <c:numCache>
                <c:formatCode>#,##0;\ \(#,##0\)</c:formatCode>
                <c:ptCount val="10"/>
                <c:pt idx="0">
                  <c:v>1267</c:v>
                </c:pt>
                <c:pt idx="1">
                  <c:v>1090.3900000000001</c:v>
                </c:pt>
                <c:pt idx="2">
                  <c:v>1254.32</c:v>
                </c:pt>
                <c:pt idx="3">
                  <c:v>1734.48</c:v>
                </c:pt>
                <c:pt idx="4">
                  <c:v>2141.61</c:v>
                </c:pt>
                <c:pt idx="5">
                  <c:v>1898.6</c:v>
                </c:pt>
                <c:pt idx="6">
                  <c:v>1860.57</c:v>
                </c:pt>
                <c:pt idx="7">
                  <c:v>2531.13</c:v>
                </c:pt>
                <c:pt idx="8">
                  <c:v>3198.07</c:v>
                </c:pt>
                <c:pt idx="9">
                  <c:v>3928.91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6B-4923-B468-FC5B0EC37B9A}"/>
            </c:ext>
          </c:extLst>
        </c:ser>
        <c:ser>
          <c:idx val="20"/>
          <c:order val="20"/>
          <c:tx>
            <c:strRef>
              <c:f>'Balance Sheet'!$A$23</c:f>
              <c:strCache>
                <c:ptCount val="1"/>
                <c:pt idx="0">
                  <c:v>Debtor or RC Days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'Balance Sheet'!$B$2:$K$2</c:f>
              <c:numCache>
                <c:formatCode>[$-409]mmm\-yy;@</c:formatCode>
                <c:ptCount val="10"/>
                <c:pt idx="0">
                  <c:v>42094</c:v>
                </c:pt>
                <c:pt idx="1">
                  <c:v>42460</c:v>
                </c:pt>
                <c:pt idx="2">
                  <c:v>42825</c:v>
                </c:pt>
                <c:pt idx="3">
                  <c:v>43190</c:v>
                </c:pt>
                <c:pt idx="4">
                  <c:v>43555</c:v>
                </c:pt>
                <c:pt idx="5">
                  <c:v>43921</c:v>
                </c:pt>
                <c:pt idx="6">
                  <c:v>44286</c:v>
                </c:pt>
                <c:pt idx="7">
                  <c:v>44651</c:v>
                </c:pt>
                <c:pt idx="8">
                  <c:v>45016</c:v>
                </c:pt>
                <c:pt idx="9">
                  <c:v>45382</c:v>
                </c:pt>
              </c:numCache>
            </c:numRef>
          </c:cat>
          <c:val>
            <c:numRef>
              <c:f>'Balance Sheet'!$B$23:$K$23</c:f>
              <c:numCache>
                <c:formatCode>#,##0;\ \(#,##0\)</c:formatCode>
                <c:ptCount val="10"/>
                <c:pt idx="1">
                  <c:v>84.714880801183057</c:v>
                </c:pt>
                <c:pt idx="2">
                  <c:v>88.558911364426564</c:v>
                </c:pt>
                <c:pt idx="3">
                  <c:v>93.745445545915786</c:v>
                </c:pt>
                <c:pt idx="4">
                  <c:v>88.827245021736346</c:v>
                </c:pt>
                <c:pt idx="5">
                  <c:v>99.301748902054214</c:v>
                </c:pt>
                <c:pt idx="6">
                  <c:v>107.39611413239157</c:v>
                </c:pt>
                <c:pt idx="7">
                  <c:v>86.027931953497898</c:v>
                </c:pt>
                <c:pt idx="8">
                  <c:v>72.932276807823513</c:v>
                </c:pt>
                <c:pt idx="9">
                  <c:v>80.522222524883958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36B-4923-B468-FC5B0EC37B9A}"/>
            </c:ext>
          </c:extLst>
        </c:ser>
        <c:ser>
          <c:idx val="24"/>
          <c:order val="24"/>
          <c:tx>
            <c:strRef>
              <c:f>'Balance Sheet'!$A$27</c:f>
              <c:strCache>
                <c:ptCount val="1"/>
                <c:pt idx="0">
                  <c:v>Return on average Capital Employed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'Balance Sheet'!$B$2:$K$2</c:f>
              <c:numCache>
                <c:formatCode>[$-409]mmm\-yy;@</c:formatCode>
                <c:ptCount val="10"/>
                <c:pt idx="0">
                  <c:v>42094</c:v>
                </c:pt>
                <c:pt idx="1">
                  <c:v>42460</c:v>
                </c:pt>
                <c:pt idx="2">
                  <c:v>42825</c:v>
                </c:pt>
                <c:pt idx="3">
                  <c:v>43190</c:v>
                </c:pt>
                <c:pt idx="4">
                  <c:v>43555</c:v>
                </c:pt>
                <c:pt idx="5">
                  <c:v>43921</c:v>
                </c:pt>
                <c:pt idx="6">
                  <c:v>44286</c:v>
                </c:pt>
                <c:pt idx="7">
                  <c:v>44651</c:v>
                </c:pt>
                <c:pt idx="8">
                  <c:v>45016</c:v>
                </c:pt>
                <c:pt idx="9">
                  <c:v>45382</c:v>
                </c:pt>
              </c:numCache>
            </c:numRef>
          </c:cat>
          <c:val>
            <c:numRef>
              <c:f>'Balance Sheet'!$B$27:$K$27</c:f>
              <c:numCache>
                <c:formatCode>0.0%;\ \(0.0%\)</c:formatCode>
                <c:ptCount val="10"/>
                <c:pt idx="1">
                  <c:v>0.28645922171592847</c:v>
                </c:pt>
                <c:pt idx="2">
                  <c:v>0.31322432932290595</c:v>
                </c:pt>
                <c:pt idx="3">
                  <c:v>0.27091395401775498</c:v>
                </c:pt>
                <c:pt idx="4">
                  <c:v>0.30025662667482239</c:v>
                </c:pt>
                <c:pt idx="5">
                  <c:v>0.28296844622897971</c:v>
                </c:pt>
                <c:pt idx="6">
                  <c:v>0.2237868988137206</c:v>
                </c:pt>
                <c:pt idx="7">
                  <c:v>0.26995195788088189</c:v>
                </c:pt>
                <c:pt idx="8">
                  <c:v>0.51148272683826046</c:v>
                </c:pt>
                <c:pt idx="9">
                  <c:v>0.44163470774638264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36B-4923-B468-FC5B0EC37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1402304"/>
        <c:axId val="621397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'Balance Sheet'!$A$3</c15:sqref>
                        </c15:formulaRef>
                      </c:ext>
                    </c:extLst>
                    <c:strCache>
                      <c:ptCount val="1"/>
                      <c:pt idx="0">
                        <c:v>Equity Share Capital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'Balance Sheet'!$B$3:$K$3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38.5</c:v>
                      </c:pt>
                      <c:pt idx="1">
                        <c:v>38.5</c:v>
                      </c:pt>
                      <c:pt idx="2">
                        <c:v>38.270000000000003</c:v>
                      </c:pt>
                      <c:pt idx="3">
                        <c:v>38.270000000000003</c:v>
                      </c:pt>
                      <c:pt idx="4">
                        <c:v>38.270000000000003</c:v>
                      </c:pt>
                      <c:pt idx="5">
                        <c:v>38.270000000000003</c:v>
                      </c:pt>
                      <c:pt idx="6">
                        <c:v>38.270000000000003</c:v>
                      </c:pt>
                      <c:pt idx="7">
                        <c:v>38.270000000000003</c:v>
                      </c:pt>
                      <c:pt idx="8">
                        <c:v>38.270000000000003</c:v>
                      </c:pt>
                      <c:pt idx="9">
                        <c:v>40.17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36B-4923-B468-FC5B0EC37B9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Sheet'!$A$6</c15:sqref>
                        </c15:formulaRef>
                      </c:ext>
                    </c:extLst>
                    <c:strCache>
                      <c:ptCount val="1"/>
                      <c:pt idx="0">
                        <c:v>Other Liabilities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Sheet'!$B$6:$K$6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1731.95</c:v>
                      </c:pt>
                      <c:pt idx="1">
                        <c:v>1680.19</c:v>
                      </c:pt>
                      <c:pt idx="2">
                        <c:v>2107.48</c:v>
                      </c:pt>
                      <c:pt idx="3">
                        <c:v>2805.07</c:v>
                      </c:pt>
                      <c:pt idx="4">
                        <c:v>3501.32</c:v>
                      </c:pt>
                      <c:pt idx="5">
                        <c:v>3115.83</c:v>
                      </c:pt>
                      <c:pt idx="6">
                        <c:v>3274.65</c:v>
                      </c:pt>
                      <c:pt idx="7">
                        <c:v>4533.1000000000004</c:v>
                      </c:pt>
                      <c:pt idx="8">
                        <c:v>5605.03</c:v>
                      </c:pt>
                      <c:pt idx="9">
                        <c:v>5263.71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36B-4923-B468-FC5B0EC37B9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Sheet'!$A$7</c15:sqref>
                        </c15:formulaRef>
                      </c:ext>
                    </c:extLst>
                    <c:strCache>
                      <c:ptCount val="1"/>
                      <c:pt idx="0">
                        <c:v>Total Liabilities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Sheet'!$B$7:$K$7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2955.92</c:v>
                      </c:pt>
                      <c:pt idx="1">
                        <c:v>2918.5600000000004</c:v>
                      </c:pt>
                      <c:pt idx="2">
                        <c:v>3448.2200000000003</c:v>
                      </c:pt>
                      <c:pt idx="3">
                        <c:v>4275.8500000000004</c:v>
                      </c:pt>
                      <c:pt idx="4">
                        <c:v>4956.97</c:v>
                      </c:pt>
                      <c:pt idx="5">
                        <c:v>4653.8</c:v>
                      </c:pt>
                      <c:pt idx="6">
                        <c:v>4998.9799999999996</c:v>
                      </c:pt>
                      <c:pt idx="7">
                        <c:v>6607.52</c:v>
                      </c:pt>
                      <c:pt idx="8">
                        <c:v>8217.65</c:v>
                      </c:pt>
                      <c:pt idx="9">
                        <c:v>9615.76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36B-4923-B468-FC5B0EC37B9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Sheet'!$B$8:$K$8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36B-4923-B468-FC5B0EC37B9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Sheet'!$A$11</c15:sqref>
                        </c15:formulaRef>
                      </c:ext>
                    </c:extLst>
                    <c:strCache>
                      <c:ptCount val="1"/>
                      <c:pt idx="0">
                        <c:v>Investments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Sheet'!$B$11:$K$11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5.26</c:v>
                      </c:pt>
                      <c:pt idx="1">
                        <c:v>112.45</c:v>
                      </c:pt>
                      <c:pt idx="2">
                        <c:v>118.57</c:v>
                      </c:pt>
                      <c:pt idx="3">
                        <c:v>0</c:v>
                      </c:pt>
                      <c:pt idx="4">
                        <c:v>186.92</c:v>
                      </c:pt>
                      <c:pt idx="5">
                        <c:v>0</c:v>
                      </c:pt>
                      <c:pt idx="6">
                        <c:v>60.4</c:v>
                      </c:pt>
                      <c:pt idx="7">
                        <c:v>30.52</c:v>
                      </c:pt>
                      <c:pt idx="8">
                        <c:v>54.28</c:v>
                      </c:pt>
                      <c:pt idx="9">
                        <c:v>10.76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36B-4923-B468-FC5B0EC37B9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Sheet'!$A$12</c15:sqref>
                        </c15:formulaRef>
                      </c:ext>
                    </c:extLst>
                    <c:strCache>
                      <c:ptCount val="1"/>
                      <c:pt idx="0">
                        <c:v>Other Assets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Sheet'!$B$12:$K$12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2545.86</c:v>
                      </c:pt>
                      <c:pt idx="1">
                        <c:v>2352.15</c:v>
                      </c:pt>
                      <c:pt idx="2">
                        <c:v>2728.03</c:v>
                      </c:pt>
                      <c:pt idx="3">
                        <c:v>3607.83</c:v>
                      </c:pt>
                      <c:pt idx="4">
                        <c:v>3957.73</c:v>
                      </c:pt>
                      <c:pt idx="5">
                        <c:v>3714.43</c:v>
                      </c:pt>
                      <c:pt idx="6">
                        <c:v>4031.96</c:v>
                      </c:pt>
                      <c:pt idx="7">
                        <c:v>5657.27</c:v>
                      </c:pt>
                      <c:pt idx="8">
                        <c:v>7113.58</c:v>
                      </c:pt>
                      <c:pt idx="9">
                        <c:v>8289.7199999999993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36B-4923-B468-FC5B0EC37B9A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Sheet'!$A$13</c15:sqref>
                        </c15:formulaRef>
                      </c:ext>
                    </c:extLst>
                    <c:strCache>
                      <c:ptCount val="1"/>
                      <c:pt idx="0">
                        <c:v>Total Assets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Sheet'!$B$13:$K$13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2955.92</c:v>
                      </c:pt>
                      <c:pt idx="1">
                        <c:v>2918.5600000000004</c:v>
                      </c:pt>
                      <c:pt idx="2">
                        <c:v>3448.2200000000003</c:v>
                      </c:pt>
                      <c:pt idx="3">
                        <c:v>4275.8500000000004</c:v>
                      </c:pt>
                      <c:pt idx="4">
                        <c:v>4956.97</c:v>
                      </c:pt>
                      <c:pt idx="5">
                        <c:v>4653.8</c:v>
                      </c:pt>
                      <c:pt idx="6">
                        <c:v>4998.9799999999996</c:v>
                      </c:pt>
                      <c:pt idx="7">
                        <c:v>6607.52</c:v>
                      </c:pt>
                      <c:pt idx="8">
                        <c:v>8217.65</c:v>
                      </c:pt>
                      <c:pt idx="9">
                        <c:v>9615.7599999999984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36B-4923-B468-FC5B0EC37B9A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36B-4923-B468-FC5B0EC37B9A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Sheet'!$A$16</c15:sqref>
                        </c15:formulaRef>
                      </c:ext>
                    </c:extLst>
                    <c:strCache>
                      <c:ptCount val="1"/>
                      <c:pt idx="0">
                        <c:v>Inventory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Sheet'!$B$16:$K$16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944.25</c:v>
                      </c:pt>
                      <c:pt idx="1">
                        <c:v>769.76</c:v>
                      </c:pt>
                      <c:pt idx="2">
                        <c:v>993.54</c:v>
                      </c:pt>
                      <c:pt idx="3">
                        <c:v>1212.26</c:v>
                      </c:pt>
                      <c:pt idx="4">
                        <c:v>1282.8800000000001</c:v>
                      </c:pt>
                      <c:pt idx="5">
                        <c:v>1331.43</c:v>
                      </c:pt>
                      <c:pt idx="6">
                        <c:v>1562.71</c:v>
                      </c:pt>
                      <c:pt idx="7">
                        <c:v>2138.65</c:v>
                      </c:pt>
                      <c:pt idx="8">
                        <c:v>2575.64</c:v>
                      </c:pt>
                      <c:pt idx="9">
                        <c:v>2864.46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36B-4923-B468-FC5B0EC37B9A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Sheet'!$A$17</c15:sqref>
                        </c15:formulaRef>
                      </c:ext>
                    </c:extLst>
                    <c:strCache>
                      <c:ptCount val="1"/>
                      <c:pt idx="0">
                        <c:v>Cash &amp; Bank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Sheet'!$B$17:$K$17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100.47</c:v>
                      </c:pt>
                      <c:pt idx="1">
                        <c:v>133.86000000000001</c:v>
                      </c:pt>
                      <c:pt idx="2">
                        <c:v>122.97</c:v>
                      </c:pt>
                      <c:pt idx="3">
                        <c:v>274.37</c:v>
                      </c:pt>
                      <c:pt idx="4">
                        <c:v>225.29</c:v>
                      </c:pt>
                      <c:pt idx="5">
                        <c:v>176.23</c:v>
                      </c:pt>
                      <c:pt idx="6">
                        <c:v>222.45</c:v>
                      </c:pt>
                      <c:pt idx="7">
                        <c:v>266.41000000000003</c:v>
                      </c:pt>
                      <c:pt idx="8">
                        <c:v>530.1</c:v>
                      </c:pt>
                      <c:pt idx="9">
                        <c:v>646.03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36B-4923-B468-FC5B0EC37B9A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Sheet'!$A$18</c15:sqref>
                        </c15:formulaRef>
                      </c:ext>
                    </c:extLst>
                    <c:strCache>
                      <c:ptCount val="1"/>
                      <c:pt idx="0">
                        <c:v>Working Capital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Sheet'!$B$18:$K$18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813.91000000000008</c:v>
                      </c:pt>
                      <c:pt idx="1">
                        <c:v>671.96</c:v>
                      </c:pt>
                      <c:pt idx="2">
                        <c:v>620.55000000000018</c:v>
                      </c:pt>
                      <c:pt idx="3">
                        <c:v>802.75999999999976</c:v>
                      </c:pt>
                      <c:pt idx="4">
                        <c:v>456.40999999999985</c:v>
                      </c:pt>
                      <c:pt idx="5">
                        <c:v>598.59999999999991</c:v>
                      </c:pt>
                      <c:pt idx="6">
                        <c:v>757.31</c:v>
                      </c:pt>
                      <c:pt idx="7">
                        <c:v>1124.17</c:v>
                      </c:pt>
                      <c:pt idx="8">
                        <c:v>1508.5500000000002</c:v>
                      </c:pt>
                      <c:pt idx="9">
                        <c:v>3026.0099999999993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36B-4923-B468-FC5B0EC37B9A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Sheet'!$A$19</c15:sqref>
                        </c15:formulaRef>
                      </c:ext>
                    </c:extLst>
                    <c:strCache>
                      <c:ptCount val="1"/>
                      <c:pt idx="0">
                        <c:v>Capital Employed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Sheet'!$B$19:$K$19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1223.97</c:v>
                      </c:pt>
                      <c:pt idx="1">
                        <c:v>1238.3700000000001</c:v>
                      </c:pt>
                      <c:pt idx="2">
                        <c:v>1340.7400000000002</c:v>
                      </c:pt>
                      <c:pt idx="3">
                        <c:v>1470.78</c:v>
                      </c:pt>
                      <c:pt idx="4">
                        <c:v>1455.6499999999999</c:v>
                      </c:pt>
                      <c:pt idx="5">
                        <c:v>1537.97</c:v>
                      </c:pt>
                      <c:pt idx="6">
                        <c:v>1724.33</c:v>
                      </c:pt>
                      <c:pt idx="7">
                        <c:v>2074.42</c:v>
                      </c:pt>
                      <c:pt idx="8">
                        <c:v>2612.62</c:v>
                      </c:pt>
                      <c:pt idx="9">
                        <c:v>4352.05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536B-4923-B468-FC5B0EC37B9A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Sheet'!$A$20</c15:sqref>
                        </c15:formulaRef>
                      </c:ext>
                    </c:extLst>
                    <c:strCache>
                      <c:ptCount val="1"/>
                      <c:pt idx="0">
                        <c:v>Total Equity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Sheet'!$B$20:$K$20</c15:sqref>
                        </c15:formulaRef>
                      </c:ext>
                    </c:extLst>
                    <c:numCache>
                      <c:formatCode>#,##0;\ \(#,##0\)</c:formatCode>
                      <c:ptCount val="10"/>
                      <c:pt idx="0">
                        <c:v>729.81</c:v>
                      </c:pt>
                      <c:pt idx="1">
                        <c:v>853.94</c:v>
                      </c:pt>
                      <c:pt idx="2">
                        <c:v>1036.1200000000001</c:v>
                      </c:pt>
                      <c:pt idx="3">
                        <c:v>1108.25</c:v>
                      </c:pt>
                      <c:pt idx="4">
                        <c:v>1202.3699999999999</c:v>
                      </c:pt>
                      <c:pt idx="5">
                        <c:v>1166.43</c:v>
                      </c:pt>
                      <c:pt idx="6">
                        <c:v>1399.52</c:v>
                      </c:pt>
                      <c:pt idx="7">
                        <c:v>1715.23</c:v>
                      </c:pt>
                      <c:pt idx="8">
                        <c:v>2236.39</c:v>
                      </c:pt>
                      <c:pt idx="9">
                        <c:v>3876.44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536B-4923-B468-FC5B0EC37B9A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Sheet'!$B$21:$K$21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536B-4923-B468-FC5B0EC37B9A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Sheet'!$A$22</c15:sqref>
                        </c15:formulaRef>
                      </c:ext>
                    </c:extLst>
                    <c:strCache>
                      <c:ptCount val="1"/>
                      <c:pt idx="0">
                        <c:v>Net Fixed Asset Turnover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Sheet'!$B$22:$K$22</c15:sqref>
                        </c15:formulaRef>
                      </c:ext>
                    </c:extLst>
                    <c:numCache>
                      <c:formatCode>#,##0.0\x;\ \(#,##0.0\x\)</c:formatCode>
                      <c:ptCount val="10"/>
                      <c:pt idx="1">
                        <c:v>12.817834201991392</c:v>
                      </c:pt>
                      <c:pt idx="2">
                        <c:v>9.9450870621166594</c:v>
                      </c:pt>
                      <c:pt idx="3">
                        <c:v>9.5198422761966306</c:v>
                      </c:pt>
                      <c:pt idx="4">
                        <c:v>11.733983615253138</c:v>
                      </c:pt>
                      <c:pt idx="5">
                        <c:v>9.3193975525572625</c:v>
                      </c:pt>
                      <c:pt idx="6">
                        <c:v>7.2485291364314612</c:v>
                      </c:pt>
                      <c:pt idx="7">
                        <c:v>10.592126879458828</c:v>
                      </c:pt>
                      <c:pt idx="8">
                        <c:v>15.653374969973576</c:v>
                      </c:pt>
                      <c:pt idx="9">
                        <c:v>15.072929254284261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536B-4923-B468-FC5B0EC37B9A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Sheet'!$A$24</c15:sqref>
                        </c15:formulaRef>
                      </c:ext>
                    </c:extLst>
                    <c:strCache>
                      <c:ptCount val="1"/>
                      <c:pt idx="0">
                        <c:v>Inventory Turnover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Sheet'!$B$24:$K$24</c15:sqref>
                        </c15:formulaRef>
                      </c:ext>
                    </c:extLst>
                    <c:numCache>
                      <c:formatCode>#,##0.0\x;\ \(#,##0.0\x\)</c:formatCode>
                      <c:ptCount val="10"/>
                      <c:pt idx="1">
                        <c:v>5.9258580755071435</c:v>
                      </c:pt>
                      <c:pt idx="2">
                        <c:v>5.4805421652583224</c:v>
                      </c:pt>
                      <c:pt idx="3">
                        <c:v>5.2756188231027279</c:v>
                      </c:pt>
                      <c:pt idx="4">
                        <c:v>6.3833051452022724</c:v>
                      </c:pt>
                      <c:pt idx="5">
                        <c:v>5.6804510559191517</c:v>
                      </c:pt>
                      <c:pt idx="6">
                        <c:v>4.4144512704983168</c:v>
                      </c:pt>
                      <c:pt idx="7">
                        <c:v>5.0341333996152766</c:v>
                      </c:pt>
                      <c:pt idx="8">
                        <c:v>6.0820611375201779</c:v>
                      </c:pt>
                      <c:pt idx="9">
                        <c:v>5.9384864248818952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536B-4923-B468-FC5B0EC37B9A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Sheet'!$A$25</c15:sqref>
                        </c15:formulaRef>
                      </c:ext>
                    </c:extLst>
                    <c:strCache>
                      <c:ptCount val="1"/>
                      <c:pt idx="0">
                        <c:v>Debt To Equity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Sheet'!$B$25:$K$25</c15:sqref>
                        </c15:formulaRef>
                      </c:ext>
                    </c:extLst>
                    <c:numCache>
                      <c:formatCode>#,##0.0\x;\ \(#,##0.0\x\)</c:formatCode>
                      <c:ptCount val="10"/>
                      <c:pt idx="0">
                        <c:v>0.67710774037078147</c:v>
                      </c:pt>
                      <c:pt idx="1">
                        <c:v>0.45018385366653391</c:v>
                      </c:pt>
                      <c:pt idx="2">
                        <c:v>0.29400069490020458</c:v>
                      </c:pt>
                      <c:pt idx="3">
                        <c:v>0.32711933228062257</c:v>
                      </c:pt>
                      <c:pt idx="4">
                        <c:v>0.21065063166912018</c:v>
                      </c:pt>
                      <c:pt idx="5">
                        <c:v>0.31852747271589382</c:v>
                      </c:pt>
                      <c:pt idx="6">
                        <c:v>0.23208671544529552</c:v>
                      </c:pt>
                      <c:pt idx="7">
                        <c:v>0.20941214880803158</c:v>
                      </c:pt>
                      <c:pt idx="8">
                        <c:v>0.16823094361895735</c:v>
                      </c:pt>
                      <c:pt idx="9">
                        <c:v>0.12269247041099565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536B-4923-B468-FC5B0EC37B9A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Sheet'!$A$26</c15:sqref>
                        </c15:formulaRef>
                      </c:ext>
                    </c:extLst>
                    <c:strCache>
                      <c:ptCount val="1"/>
                      <c:pt idx="0">
                        <c:v>Return on average Equity (RoAE)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Sheet'!$B$2:$K$2</c15:sqref>
                        </c15:formulaRef>
                      </c:ext>
                    </c:extLst>
                    <c:numCache>
                      <c:formatCode>[$-409]mmm\-yy;@</c:formatCode>
                      <c:ptCount val="10"/>
                      <c:pt idx="0">
                        <c:v>42094</c:v>
                      </c:pt>
                      <c:pt idx="1">
                        <c:v>42460</c:v>
                      </c:pt>
                      <c:pt idx="2">
                        <c:v>42825</c:v>
                      </c:pt>
                      <c:pt idx="3">
                        <c:v>43190</c:v>
                      </c:pt>
                      <c:pt idx="4">
                        <c:v>43555</c:v>
                      </c:pt>
                      <c:pt idx="5">
                        <c:v>43921</c:v>
                      </c:pt>
                      <c:pt idx="6">
                        <c:v>44286</c:v>
                      </c:pt>
                      <c:pt idx="7">
                        <c:v>44651</c:v>
                      </c:pt>
                      <c:pt idx="8">
                        <c:v>45016</c:v>
                      </c:pt>
                      <c:pt idx="9">
                        <c:v>45382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'Balance Sheet'!$B$26:$K$26</c15:sqref>
                        </c15:formulaRef>
                      </c:ext>
                    </c:extLst>
                    <c:numCache>
                      <c:formatCode>0.0%;\ \(0.0%\)</c:formatCode>
                      <c:ptCount val="10"/>
                      <c:pt idx="1">
                        <c:v>0.1518926598263611</c:v>
                      </c:pt>
                      <c:pt idx="2">
                        <c:v>0.18650201580902201</c:v>
                      </c:pt>
                      <c:pt idx="3">
                        <c:v>0.13499535994254658</c:v>
                      </c:pt>
                      <c:pt idx="4">
                        <c:v>0.11776925673628741</c:v>
                      </c:pt>
                      <c:pt idx="5">
                        <c:v>0.11410840932117453</c:v>
                      </c:pt>
                      <c:pt idx="6">
                        <c:v>0.12509986554687377</c:v>
                      </c:pt>
                      <c:pt idx="7">
                        <c:v>0.16484790111565936</c:v>
                      </c:pt>
                      <c:pt idx="8">
                        <c:v>0.32276382850577734</c:v>
                      </c:pt>
                      <c:pt idx="9">
                        <c:v>0.26996006759553248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536B-4923-B468-FC5B0EC37B9A}"/>
                  </c:ext>
                </c:extLst>
              </c15:ser>
            </c15:filteredBarSeries>
          </c:ext>
        </c:extLst>
      </c:barChart>
      <c:dateAx>
        <c:axId val="621402304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621397712"/>
        <c:crosses val="autoZero"/>
        <c:auto val="1"/>
        <c:lblOffset val="100"/>
        <c:baseTimeUnit val="years"/>
      </c:dateAx>
      <c:valAx>
        <c:axId val="621397712"/>
        <c:scaling>
          <c:orientation val="minMax"/>
        </c:scaling>
        <c:delete val="1"/>
        <c:axPos val="l"/>
        <c:numFmt formatCode="#,##0;\ \(#,##0\)" sourceLinked="1"/>
        <c:majorTickMark val="out"/>
        <c:minorTickMark val="none"/>
        <c:tickLblPos val="nextTo"/>
        <c:crossAx val="62140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3850121193867155E-2"/>
          <c:y val="2.1835968741947303E-2"/>
          <c:w val="0.56540883209270976"/>
          <c:h val="0.26409813032406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1</xdr:row>
      <xdr:rowOff>45719</xdr:rowOff>
    </xdr:from>
    <xdr:to>
      <xdr:col>11</xdr:col>
      <xdr:colOff>707571</xdr:colOff>
      <xdr:row>20</xdr:row>
      <xdr:rowOff>141515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F382FBA-C0B4-4610-96A3-E5808B905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650150</xdr:colOff>
      <xdr:row>1</xdr:row>
      <xdr:rowOff>43544</xdr:rowOff>
    </xdr:from>
    <xdr:to>
      <xdr:col>22</xdr:col>
      <xdr:colOff>0</xdr:colOff>
      <xdr:row>20</xdr:row>
      <xdr:rowOff>152401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28737B2-941C-4567-940E-63B57BD4E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54429</xdr:colOff>
      <xdr:row>1</xdr:row>
      <xdr:rowOff>32656</xdr:rowOff>
    </xdr:from>
    <xdr:to>
      <xdr:col>30</xdr:col>
      <xdr:colOff>511628</xdr:colOff>
      <xdr:row>20</xdr:row>
      <xdr:rowOff>185057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CF72224-4C96-4746-9307-A3A129EB0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397933</xdr:colOff>
      <xdr:row>0</xdr:row>
      <xdr:rowOff>25401</xdr:rowOff>
    </xdr:from>
    <xdr:to>
      <xdr:col>25</xdr:col>
      <xdr:colOff>9525</xdr:colOff>
      <xdr:row>22</xdr:row>
      <xdr:rowOff>47626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B84413-D41A-4ED7-A7FE-B446D18A4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333375</xdr:colOff>
      <xdr:row>0</xdr:row>
      <xdr:rowOff>76199</xdr:rowOff>
    </xdr:from>
    <xdr:to>
      <xdr:col>26</xdr:col>
      <xdr:colOff>28575</xdr:colOff>
      <xdr:row>27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BA6491-7135-4B55-B66F-7120BFA704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314324</xdr:colOff>
      <xdr:row>1</xdr:row>
      <xdr:rowOff>42862</xdr:rowOff>
    </xdr:from>
    <xdr:to>
      <xdr:col>26</xdr:col>
      <xdr:colOff>28574</xdr:colOff>
      <xdr:row>30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ACAAAF-AEC8-10D2-DC89-45CEACCCE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alalstock.i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creener.in/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CDF3A-D4DB-4669-AF6C-033FCEF37531}">
  <dimension ref="A1:AE33"/>
  <sheetViews>
    <sheetView showGridLines="0" tabSelected="1" view="pageBreakPreview" zoomScale="80" zoomScaleNormal="70" zoomScaleSheetLayoutView="80" workbookViewId="0">
      <selection activeCell="W31" sqref="W31"/>
    </sheetView>
  </sheetViews>
  <sheetFormatPr defaultColWidth="8.7109375" defaultRowHeight="15" x14ac:dyDescent="0.25"/>
  <cols>
    <col min="1" max="1" width="25.28515625" style="8" customWidth="1"/>
    <col min="2" max="2" width="10.85546875" style="80" customWidth="1"/>
    <col min="3" max="5" width="9" style="8" bestFit="1" customWidth="1"/>
    <col min="6" max="6" width="11.28515625" style="8" bestFit="1" customWidth="1"/>
    <col min="7" max="7" width="9" style="8" bestFit="1" customWidth="1"/>
    <col min="8" max="8" width="9.28515625" style="8" bestFit="1" customWidth="1"/>
    <col min="9" max="9" width="10.28515625" style="8" bestFit="1" customWidth="1"/>
    <col min="10" max="10" width="10.5703125" style="8" bestFit="1" customWidth="1"/>
    <col min="11" max="11" width="9.28515625" style="8" bestFit="1" customWidth="1"/>
    <col min="12" max="12" width="9.7109375" style="8" customWidth="1"/>
    <col min="13" max="19" width="8.7109375" style="8"/>
    <col min="20" max="20" width="10" style="8" bestFit="1" customWidth="1"/>
    <col min="21" max="21" width="7.5703125" style="8" customWidth="1"/>
    <col min="22" max="26" width="8.7109375" style="8"/>
    <col min="27" max="27" width="9.7109375" style="8" bestFit="1" customWidth="1"/>
    <col min="28" max="28" width="9.7109375" style="8" customWidth="1"/>
    <col min="29" max="29" width="10.7109375" style="8" customWidth="1"/>
    <col min="30" max="30" width="7.7109375" style="8" customWidth="1"/>
    <col min="31" max="16384" width="8.7109375" style="8"/>
  </cols>
  <sheetData>
    <row r="1" spans="1:31" ht="61.15" customHeight="1" x14ac:dyDescent="0.25">
      <c r="A1" s="134" t="str">
        <f>'Data Sheet'!B1&amp;"  -  "&amp;'Data Sheet'!B8</f>
        <v>APAR INDUSTRIES LTD  -  6092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</row>
    <row r="2" spans="1:31" ht="16.149999999999999" customHeight="1" x14ac:dyDescent="0.25">
      <c r="A2" s="110" t="s">
        <v>90</v>
      </c>
      <c r="B2" s="111"/>
    </row>
    <row r="3" spans="1:31" ht="16.149999999999999" customHeight="1" x14ac:dyDescent="0.25">
      <c r="A3" s="90" t="s">
        <v>118</v>
      </c>
      <c r="B3" s="83"/>
      <c r="C3" s="135"/>
      <c r="D3" s="136"/>
    </row>
    <row r="4" spans="1:31" ht="16.149999999999999" customHeight="1" x14ac:dyDescent="0.25">
      <c r="A4" s="90" t="s">
        <v>119</v>
      </c>
      <c r="B4" s="83"/>
      <c r="C4" s="135"/>
      <c r="D4" s="136"/>
    </row>
    <row r="5" spans="1:31" ht="16.149999999999999" customHeight="1" x14ac:dyDescent="0.25">
      <c r="A5" s="90" t="s">
        <v>120</v>
      </c>
      <c r="B5" s="83"/>
      <c r="C5" s="137"/>
      <c r="D5" s="136"/>
    </row>
    <row r="6" spans="1:31" ht="16.149999999999999" customHeight="1" x14ac:dyDescent="0.25">
      <c r="A6" s="90" t="s">
        <v>98</v>
      </c>
      <c r="B6" s="98"/>
    </row>
    <row r="7" spans="1:31" ht="16.149999999999999" customHeight="1" x14ac:dyDescent="0.25">
      <c r="A7" s="96" t="s">
        <v>91</v>
      </c>
      <c r="B7" s="82"/>
    </row>
    <row r="8" spans="1:31" ht="16.149999999999999" customHeight="1" x14ac:dyDescent="0.25">
      <c r="A8" s="91" t="s">
        <v>118</v>
      </c>
      <c r="B8" s="85"/>
    </row>
    <row r="9" spans="1:31" ht="16.149999999999999" customHeight="1" x14ac:dyDescent="0.25">
      <c r="A9" s="92" t="s">
        <v>119</v>
      </c>
      <c r="B9" s="84"/>
    </row>
    <row r="10" spans="1:31" ht="16.149999999999999" customHeight="1" x14ac:dyDescent="0.25">
      <c r="A10" s="93" t="s">
        <v>99</v>
      </c>
      <c r="B10" s="98"/>
    </row>
    <row r="11" spans="1:31" ht="16.149999999999999" customHeight="1" x14ac:dyDescent="0.25">
      <c r="A11" s="94" t="s">
        <v>100</v>
      </c>
      <c r="B11" s="99"/>
    </row>
    <row r="12" spans="1:31" ht="16.149999999999999" customHeight="1" x14ac:dyDescent="0.25">
      <c r="A12" s="95" t="s">
        <v>94</v>
      </c>
      <c r="B12" s="81"/>
    </row>
    <row r="13" spans="1:31" ht="16.149999999999999" customHeight="1" x14ac:dyDescent="0.25">
      <c r="A13" s="93" t="s">
        <v>87</v>
      </c>
      <c r="B13" s="84"/>
    </row>
    <row r="14" spans="1:31" ht="16.149999999999999" customHeight="1" x14ac:dyDescent="0.25">
      <c r="A14" s="93" t="s">
        <v>93</v>
      </c>
      <c r="B14" s="84"/>
    </row>
    <row r="15" spans="1:31" ht="16.149999999999999" customHeight="1" x14ac:dyDescent="0.25">
      <c r="A15" s="93" t="s">
        <v>95</v>
      </c>
      <c r="B15" s="84"/>
    </row>
    <row r="16" spans="1:31" ht="16.149999999999999" customHeight="1" x14ac:dyDescent="0.25">
      <c r="A16" s="93" t="s">
        <v>89</v>
      </c>
      <c r="B16" s="84"/>
    </row>
    <row r="17" spans="1:30" ht="16.149999999999999" customHeight="1" x14ac:dyDescent="0.25">
      <c r="A17" s="93" t="s">
        <v>96</v>
      </c>
      <c r="B17" s="84"/>
    </row>
    <row r="18" spans="1:30" ht="16.149999999999999" customHeight="1" x14ac:dyDescent="0.25">
      <c r="A18" s="93" t="s">
        <v>97</v>
      </c>
      <c r="B18" s="84"/>
    </row>
    <row r="19" spans="1:30" ht="16.149999999999999" customHeight="1" x14ac:dyDescent="0.25">
      <c r="A19" s="97"/>
      <c r="B19" s="81"/>
    </row>
    <row r="20" spans="1:30" ht="16.149999999999999" customHeight="1" x14ac:dyDescent="0.3">
      <c r="A20" s="102" t="s">
        <v>8</v>
      </c>
      <c r="B20" s="103">
        <f>'Data Sheet'!B9</f>
        <v>24470.54</v>
      </c>
    </row>
    <row r="22" spans="1:30" x14ac:dyDescent="0.25">
      <c r="H22" s="104" t="s">
        <v>106</v>
      </c>
      <c r="I22" s="104" t="s">
        <v>103</v>
      </c>
      <c r="J22" s="104" t="s">
        <v>105</v>
      </c>
      <c r="R22" s="104" t="s">
        <v>106</v>
      </c>
      <c r="S22" s="104" t="s">
        <v>103</v>
      </c>
      <c r="T22" s="104" t="s">
        <v>105</v>
      </c>
      <c r="AA22" s="107" t="s">
        <v>106</v>
      </c>
      <c r="AB22" s="107" t="s">
        <v>103</v>
      </c>
      <c r="AC22" s="107" t="s">
        <v>105</v>
      </c>
    </row>
    <row r="23" spans="1:30" ht="18.75" x14ac:dyDescent="0.3">
      <c r="A23" s="68"/>
      <c r="B23" s="100"/>
      <c r="D23" s="131" t="s">
        <v>112</v>
      </c>
      <c r="E23" s="132"/>
      <c r="F23" s="132"/>
      <c r="G23" s="133"/>
      <c r="H23" s="106">
        <f>QTR!G3</f>
        <v>4008.53</v>
      </c>
      <c r="I23" s="106">
        <f>QTR!K3</f>
        <v>4716.42</v>
      </c>
      <c r="J23" s="108">
        <f>((I23-H23)/H23)*100</f>
        <v>17.659590922358067</v>
      </c>
      <c r="N23" s="131" t="s">
        <v>115</v>
      </c>
      <c r="O23" s="132"/>
      <c r="P23" s="132"/>
      <c r="Q23" s="133"/>
      <c r="R23" s="106">
        <f>'P&amp;L'!J3</f>
        <v>14336.3</v>
      </c>
      <c r="S23" s="106">
        <f>'P&amp;L'!K3</f>
        <v>16152.98</v>
      </c>
      <c r="T23" s="108">
        <f>((S23-R23)/R23)*100</f>
        <v>12.671888841611857</v>
      </c>
      <c r="W23" s="105"/>
      <c r="X23" s="131" t="s">
        <v>31</v>
      </c>
      <c r="Y23" s="132"/>
      <c r="Z23" s="133"/>
      <c r="AA23" s="106">
        <f>'Balance Sheet'!J4</f>
        <v>2198.12</v>
      </c>
      <c r="AB23" s="106">
        <f>'Balance Sheet'!K4</f>
        <v>3836.27</v>
      </c>
      <c r="AC23" s="108">
        <f>((AB23-AA23)/AA23)*100</f>
        <v>74.525048677961166</v>
      </c>
    </row>
    <row r="24" spans="1:30" ht="18.75" x14ac:dyDescent="0.3">
      <c r="A24" s="68"/>
      <c r="D24" s="131" t="s">
        <v>113</v>
      </c>
      <c r="E24" s="132"/>
      <c r="F24" s="132"/>
      <c r="G24" s="133"/>
      <c r="H24" s="106">
        <f>QTR!G11</f>
        <v>217.57</v>
      </c>
      <c r="I24" s="106">
        <f>QTR!K11</f>
        <v>174.92000000000002</v>
      </c>
      <c r="J24" s="108">
        <f>((I24-H24)/H24)*100</f>
        <v>-19.602886427356701</v>
      </c>
      <c r="N24" s="131" t="s">
        <v>116</v>
      </c>
      <c r="O24" s="132"/>
      <c r="P24" s="132"/>
      <c r="Q24" s="133"/>
      <c r="R24" s="106">
        <f>'P&amp;L'!J11</f>
        <v>637.71999999999991</v>
      </c>
      <c r="S24" s="106">
        <f>'P&amp;L'!K11</f>
        <v>825.10999999999945</v>
      </c>
      <c r="T24" s="108">
        <f>((S24-R24)/R24)*100</f>
        <v>29.384369315687064</v>
      </c>
      <c r="W24" s="105"/>
      <c r="X24" s="131" t="s">
        <v>110</v>
      </c>
      <c r="Y24" s="132"/>
      <c r="Z24" s="133"/>
      <c r="AA24" s="106">
        <f>'Balance Sheet'!J5</f>
        <v>376.23</v>
      </c>
      <c r="AB24" s="106">
        <f>'Balance Sheet'!K5</f>
        <v>475.61</v>
      </c>
      <c r="AC24" s="108">
        <f>((AB24-AA24)/AA24)*100</f>
        <v>26.414693139834672</v>
      </c>
    </row>
    <row r="25" spans="1:30" ht="18.75" x14ac:dyDescent="0.3">
      <c r="A25" s="68"/>
      <c r="D25" s="131" t="s">
        <v>114</v>
      </c>
      <c r="E25" s="132"/>
      <c r="F25" s="132"/>
      <c r="G25" s="133"/>
      <c r="H25" s="118">
        <f>QTR!G15</f>
        <v>0.10102456511489248</v>
      </c>
      <c r="I25" s="118">
        <f>QTR!K15</f>
        <v>7.5485219721738092E-2</v>
      </c>
      <c r="J25" s="119">
        <f>I25-H25</f>
        <v>-2.5539345393154389E-2</v>
      </c>
      <c r="N25" s="131" t="s">
        <v>117</v>
      </c>
      <c r="O25" s="132"/>
      <c r="P25" s="132"/>
      <c r="Q25" s="133"/>
      <c r="R25" s="123">
        <f>'P&amp;L'!J28</f>
        <v>8.8380544491954205E-2</v>
      </c>
      <c r="S25" s="123">
        <f>'P&amp;L'!K13</f>
        <v>9.7055775466817845E-2</v>
      </c>
      <c r="T25" s="108">
        <f>((S25-R25)/R25)*100</f>
        <v>9.8157700031519912</v>
      </c>
      <c r="X25" s="131" t="s">
        <v>107</v>
      </c>
      <c r="Y25" s="132"/>
      <c r="Z25" s="133"/>
      <c r="AA25" s="122">
        <f>'Balance Sheet'!J10</f>
        <v>99.31</v>
      </c>
      <c r="AB25" s="122">
        <f>'Balance Sheet'!K10</f>
        <v>122.45</v>
      </c>
      <c r="AC25" s="108">
        <f>((AB25-AA25)/AA25)*100</f>
        <v>23.30077534991441</v>
      </c>
    </row>
    <row r="26" spans="1:30" ht="18.75" x14ac:dyDescent="0.3">
      <c r="V26" s="109"/>
      <c r="X26" s="131" t="s">
        <v>104</v>
      </c>
      <c r="Y26" s="132"/>
      <c r="Z26" s="133"/>
      <c r="AA26" s="106">
        <f>'Balance Sheet'!J9</f>
        <v>950.48</v>
      </c>
      <c r="AB26" s="106">
        <f>'Balance Sheet'!K9</f>
        <v>1192.83</v>
      </c>
      <c r="AC26" s="108">
        <f>((AB26-AA26)/AA26)*100</f>
        <v>25.497643296018847</v>
      </c>
    </row>
    <row r="27" spans="1:30" x14ac:dyDescent="0.25">
      <c r="A27" s="115"/>
      <c r="B27" s="116"/>
      <c r="C27" s="115"/>
    </row>
    <row r="28" spans="1:30" x14ac:dyDescent="0.25">
      <c r="B28" s="130">
        <f>'P&amp;L'!B2</f>
        <v>42094</v>
      </c>
      <c r="C28" s="130">
        <f>'P&amp;L'!C2</f>
        <v>42460</v>
      </c>
      <c r="D28" s="130">
        <f>'P&amp;L'!D2</f>
        <v>42825</v>
      </c>
      <c r="E28" s="130">
        <f>'P&amp;L'!E2</f>
        <v>43190</v>
      </c>
      <c r="F28" s="130">
        <f>'P&amp;L'!F2</f>
        <v>43555</v>
      </c>
      <c r="G28" s="130">
        <f>'P&amp;L'!G2</f>
        <v>43921</v>
      </c>
      <c r="H28" s="130">
        <f>'P&amp;L'!H2</f>
        <v>44286</v>
      </c>
      <c r="I28" s="130">
        <f>'P&amp;L'!I2</f>
        <v>44651</v>
      </c>
      <c r="J28" s="130">
        <f>'P&amp;L'!J2</f>
        <v>45016</v>
      </c>
      <c r="K28" s="130">
        <f>'P&amp;L'!K2</f>
        <v>45382</v>
      </c>
    </row>
    <row r="29" spans="1:30" x14ac:dyDescent="0.25">
      <c r="A29" s="126" t="s">
        <v>88</v>
      </c>
      <c r="B29" s="129"/>
      <c r="C29" s="124">
        <f>'Balance Sheet'!C23</f>
        <v>84.714880801183057</v>
      </c>
      <c r="D29" s="124">
        <f>'Balance Sheet'!D23</f>
        <v>88.558911364426564</v>
      </c>
      <c r="E29" s="124">
        <f>'Balance Sheet'!E23</f>
        <v>93.745445545915786</v>
      </c>
      <c r="F29" s="124">
        <f>'Balance Sheet'!F23</f>
        <v>88.827245021736346</v>
      </c>
      <c r="G29" s="124">
        <f>'Balance Sheet'!G23</f>
        <v>99.301748902054214</v>
      </c>
      <c r="H29" s="124">
        <f>'Balance Sheet'!H23</f>
        <v>107.39611413239157</v>
      </c>
      <c r="I29" s="124">
        <f>'Balance Sheet'!I23</f>
        <v>86.027931953497898</v>
      </c>
      <c r="J29" s="124">
        <f>'Balance Sheet'!J23</f>
        <v>72.932276807823513</v>
      </c>
      <c r="K29" s="124">
        <f>'Balance Sheet'!K23</f>
        <v>80.522222524883958</v>
      </c>
    </row>
    <row r="30" spans="1:30" x14ac:dyDescent="0.25">
      <c r="A30" s="126" t="s">
        <v>121</v>
      </c>
      <c r="B30" s="129"/>
      <c r="C30" s="125">
        <f>'Balance Sheet'!C26</f>
        <v>0.1518926598263611</v>
      </c>
      <c r="D30" s="125">
        <f>'Balance Sheet'!D26</f>
        <v>0.18650201580902201</v>
      </c>
      <c r="E30" s="125">
        <f>'Balance Sheet'!E26</f>
        <v>0.13499535994254658</v>
      </c>
      <c r="F30" s="125">
        <f>'Balance Sheet'!F26</f>
        <v>0.11776925673628741</v>
      </c>
      <c r="G30" s="125">
        <f>'Balance Sheet'!G26</f>
        <v>0.11410840932117453</v>
      </c>
      <c r="H30" s="125">
        <f>'Balance Sheet'!H26</f>
        <v>0.12509986554687377</v>
      </c>
      <c r="I30" s="125">
        <f>'Balance Sheet'!I26</f>
        <v>0.16484790111565936</v>
      </c>
      <c r="J30" s="125">
        <f>'Balance Sheet'!J26</f>
        <v>0.32276382850577734</v>
      </c>
      <c r="K30" s="125">
        <f>'Balance Sheet'!K26</f>
        <v>0.26996006759553248</v>
      </c>
    </row>
    <row r="31" spans="1:30" x14ac:dyDescent="0.25">
      <c r="A31" s="126" t="s">
        <v>122</v>
      </c>
      <c r="B31" s="129"/>
      <c r="C31" s="125">
        <f>'Balance Sheet'!C27</f>
        <v>0.28645922171592847</v>
      </c>
      <c r="D31" s="125">
        <f>'Balance Sheet'!D27</f>
        <v>0.31322432932290595</v>
      </c>
      <c r="E31" s="125">
        <f>'Balance Sheet'!E27</f>
        <v>0.27091395401775498</v>
      </c>
      <c r="F31" s="125">
        <f>'Balance Sheet'!F27</f>
        <v>0.30025662667482239</v>
      </c>
      <c r="G31" s="125">
        <f>'Balance Sheet'!G27</f>
        <v>0.28296844622897971</v>
      </c>
      <c r="H31" s="125">
        <f>'Balance Sheet'!H27</f>
        <v>0.2237868988137206</v>
      </c>
      <c r="I31" s="125">
        <f>'Balance Sheet'!I27</f>
        <v>0.26995195788088189</v>
      </c>
      <c r="J31" s="125">
        <f>'Balance Sheet'!J27</f>
        <v>0.51148272683826046</v>
      </c>
      <c r="K31" s="125">
        <f>'Balance Sheet'!K27</f>
        <v>0.44163470774638264</v>
      </c>
    </row>
    <row r="32" spans="1:30" x14ac:dyDescent="0.25">
      <c r="A32" s="127" t="s">
        <v>111</v>
      </c>
      <c r="B32" s="128">
        <f>'P&amp;L'!B12</f>
        <v>12.834933045861355</v>
      </c>
      <c r="C32" s="128">
        <f>'P&amp;L'!C12</f>
        <v>31.244180518110415</v>
      </c>
      <c r="D32" s="128">
        <f>'P&amp;L'!D12</f>
        <v>46.056012630087359</v>
      </c>
      <c r="E32" s="128">
        <f>'P&amp;L'!E12</f>
        <v>37.82211215931239</v>
      </c>
      <c r="F32" s="128">
        <f>'P&amp;L'!F12</f>
        <v>35.553935196877681</v>
      </c>
      <c r="G32" s="128">
        <f>'P&amp;L'!G12</f>
        <v>35.316142450815668</v>
      </c>
      <c r="H32" s="128">
        <f>'P&amp;L'!H12</f>
        <v>41.940368948249834</v>
      </c>
      <c r="I32" s="128">
        <f>'P&amp;L'!I12</f>
        <v>67.086298567502524</v>
      </c>
      <c r="J32" s="128">
        <f>'P&amp;L'!J12</f>
        <v>166.64306595437893</v>
      </c>
      <c r="K32" s="128">
        <f>'P&amp;L'!K12</f>
        <v>205.41314715342165</v>
      </c>
      <c r="AC32" s="150" t="s">
        <v>123</v>
      </c>
      <c r="AD32" s="150"/>
    </row>
    <row r="33" spans="6:6" x14ac:dyDescent="0.25">
      <c r="F33" s="117"/>
    </row>
  </sheetData>
  <mergeCells count="15">
    <mergeCell ref="AC32:AD32"/>
    <mergeCell ref="A1:AE1"/>
    <mergeCell ref="C3:D3"/>
    <mergeCell ref="C4:D4"/>
    <mergeCell ref="C5:D5"/>
    <mergeCell ref="D23:G23"/>
    <mergeCell ref="D24:G24"/>
    <mergeCell ref="N23:Q23"/>
    <mergeCell ref="N24:Q24"/>
    <mergeCell ref="X26:Z26"/>
    <mergeCell ref="D25:G25"/>
    <mergeCell ref="N25:Q25"/>
    <mergeCell ref="X25:Z25"/>
    <mergeCell ref="X23:Z23"/>
    <mergeCell ref="X24:Z24"/>
  </mergeCells>
  <conditionalFormatting sqref="C32:K32">
    <cfRule type="cellIs" dxfId="53" priority="2" operator="lessThan">
      <formula>B32</formula>
    </cfRule>
    <cfRule type="cellIs" dxfId="52" priority="1" operator="greaterThan">
      <formula>B32</formula>
    </cfRule>
  </conditionalFormatting>
  <conditionalFormatting sqref="D29:K29">
    <cfRule type="cellIs" dxfId="51" priority="6" operator="lessThan">
      <formula>C29</formula>
    </cfRule>
    <cfRule type="cellIs" dxfId="50" priority="5" operator="greaterThan">
      <formula>C29</formula>
    </cfRule>
  </conditionalFormatting>
  <conditionalFormatting sqref="D30:K31">
    <cfRule type="cellIs" dxfId="49" priority="10" operator="lessThan">
      <formula>C30</formula>
    </cfRule>
    <cfRule type="cellIs" dxfId="48" priority="9" operator="greaterThan">
      <formula>C30</formula>
    </cfRule>
  </conditionalFormatting>
  <conditionalFormatting sqref="T23:T25">
    <cfRule type="cellIs" dxfId="47" priority="57" operator="greaterThan">
      <formula>0</formula>
    </cfRule>
    <cfRule type="cellIs" dxfId="46" priority="56" operator="lessThan">
      <formula>0</formula>
    </cfRule>
  </conditionalFormatting>
  <conditionalFormatting sqref="AC23 J23:J25">
    <cfRule type="cellIs" dxfId="45" priority="17" operator="lessThan">
      <formula>0</formula>
    </cfRule>
    <cfRule type="cellIs" dxfId="44" priority="18" operator="greaterThan">
      <formula>0</formula>
    </cfRule>
  </conditionalFormatting>
  <conditionalFormatting sqref="AC24">
    <cfRule type="cellIs" dxfId="43" priority="49" operator="greaterThan">
      <formula>0</formula>
    </cfRule>
    <cfRule type="cellIs" dxfId="42" priority="48" operator="lessThan">
      <formula>0</formula>
    </cfRule>
  </conditionalFormatting>
  <conditionalFormatting sqref="AC25:AC26">
    <cfRule type="cellIs" dxfId="41" priority="16" operator="greaterThan">
      <formula>0</formula>
    </cfRule>
    <cfRule type="cellIs" dxfId="40" priority="15" operator="lessThan">
      <formula>0</formula>
    </cfRule>
  </conditionalFormatting>
  <hyperlinks>
    <hyperlink ref="AC32:AD32" r:id="rId1" display="By HalalStock.in" xr:uid="{4A2B690B-FE20-495B-88E6-8E12DA4A4A4B}"/>
  </hyperlinks>
  <pageMargins left="0.7" right="0.7" top="0.75" bottom="0.75" header="0.3" footer="0.3"/>
  <pageSetup paperSize="9" scale="28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7" id="{955D02DC-A51D-4AAF-98AA-947CEACAC3F5}">
            <xm:f>QTR!K3&gt;QTR!G3</xm:f>
            <x14:dxf>
              <fill>
                <patternFill>
                  <bgColor theme="9"/>
                </patternFill>
              </fill>
            </x14:dxf>
          </x14:cfRule>
          <x14:cfRule type="expression" priority="96" id="{044F0962-9775-4CC1-B118-B9775212EEDB}">
            <xm:f>QTR!K3&lt;QTR!G3</xm:f>
            <x14:dxf>
              <fill>
                <patternFill>
                  <bgColor rgb="FFFF5050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94" id="{8AF9E321-C630-4844-ABB8-544CD7D7236D}">
            <xm:f>QTR!K11&gt;QTR!G11</xm:f>
            <x14:dxf>
              <fill>
                <patternFill>
                  <bgColor theme="9"/>
                </patternFill>
              </fill>
            </x14:dxf>
          </x14:cfRule>
          <x14:cfRule type="expression" priority="95" id="{78C3A5C9-C910-4433-B2BC-F80EC3285411}">
            <xm:f>QTR!K11&lt;QTR!G11</xm:f>
            <x14:dxf>
              <fill>
                <patternFill>
                  <bgColor rgb="FFFF5050"/>
                </patternFill>
              </fill>
            </x14:dxf>
          </x14:cfRule>
          <xm:sqref>B4</xm:sqref>
        </x14:conditionalFormatting>
        <x14:conditionalFormatting xmlns:xm="http://schemas.microsoft.com/office/excel/2006/main">
          <x14:cfRule type="expression" priority="92" id="{7C7234D0-4DBA-4E02-9944-B3B9937B2952}">
            <xm:f>QTR!K15&gt;QTR!G15</xm:f>
            <x14:dxf>
              <fill>
                <patternFill>
                  <bgColor theme="9"/>
                </patternFill>
              </fill>
            </x14:dxf>
          </x14:cfRule>
          <x14:cfRule type="expression" priority="93" id="{64AE6F9E-0B4F-4131-BBA3-78D89E819D07}">
            <xm:f>QTR!K15&lt;QTR!G15</xm:f>
            <x14:dxf>
              <fill>
                <patternFill>
                  <bgColor rgb="FFFF5050"/>
                </patternFill>
              </fill>
            </x14:dxf>
          </x14:cfRule>
          <xm:sqref>B5</xm:sqref>
        </x14:conditionalFormatting>
        <x14:conditionalFormatting xmlns:xm="http://schemas.microsoft.com/office/excel/2006/main">
          <x14:cfRule type="expression" priority="69" id="{2A4B4927-2135-410B-8870-7E8E51CC1541}">
            <xm:f>QTR!K17&gt;AVERAGE(QTR!H17:J17)</xm:f>
            <x14:dxf>
              <fill>
                <patternFill>
                  <bgColor theme="9"/>
                </patternFill>
              </fill>
            </x14:dxf>
          </x14:cfRule>
          <x14:cfRule type="expression" priority="70" id="{01069374-61FE-462E-83DA-4476BAA3121B}">
            <xm:f>QTR!K17&lt;AVERAGE(QTR!H17:J17)</xm:f>
            <x14:dxf>
              <fill>
                <patternFill>
                  <bgColor rgb="FFFF5050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91" id="{704DA31B-E074-4ABC-991A-BF42B8CA4076}">
            <xm:f>'P&amp;L'!K3&lt;'P&amp;L'!J3</xm:f>
            <x14:dxf>
              <fill>
                <patternFill>
                  <bgColor rgb="FFFF5050"/>
                </patternFill>
              </fill>
            </x14:dxf>
          </x14:cfRule>
          <x14:cfRule type="expression" priority="90" id="{72991574-F079-4B33-8A13-4DF5F264251B}">
            <xm:f>'P&amp;L'!K3&gt;'P&amp;L'!J3</xm:f>
            <x14:dxf>
              <fill>
                <patternFill>
                  <bgColor theme="9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89" id="{769D1944-AF7B-46A3-8DD5-4F49BCB0A6D4}">
            <xm:f>'P&amp;L'!K11&lt;'P&amp;L'!J11</xm:f>
            <x14:dxf>
              <fill>
                <patternFill>
                  <bgColor rgb="FFFF5050"/>
                </patternFill>
              </fill>
            </x14:dxf>
          </x14:cfRule>
          <x14:cfRule type="expression" priority="88" id="{F805A61D-0018-4C8C-AA7A-FF94EED34F8A}">
            <xm:f>'P&amp;L'!K11&gt;'P&amp;L'!J11</xm:f>
            <x14:dxf>
              <fill>
                <patternFill>
                  <bgColor theme="9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87" id="{86B34E27-4650-4362-B945-1072118FB5EB}">
            <xm:f>'P&amp;L'!K13&lt;AVERAGE('P&amp;L'!H13:J13)</xm:f>
            <x14:dxf>
              <fill>
                <patternFill>
                  <bgColor rgb="FFFF5050"/>
                </patternFill>
              </fill>
            </x14:dxf>
          </x14:cfRule>
          <x14:cfRule type="expression" priority="86" id="{846B489B-0D8A-4C7C-9661-3A87B813B8CD}">
            <xm:f>'P&amp;L'!K13&gt;AVERAGE('P&amp;L'!H13:J13)</xm:f>
            <x14:dxf>
              <fill>
                <patternFill>
                  <bgColor theme="9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66" id="{7035CCB7-1635-4E6E-A95A-A3DADF0B8F1A}">
            <xm:f>'P&amp;L'!K15&gt;AVERAGE('P&amp;L'!H15:J15)</xm:f>
            <x14:dxf>
              <fill>
                <patternFill>
                  <bgColor theme="9"/>
                </patternFill>
              </fill>
            </x14:dxf>
          </x14:cfRule>
          <x14:cfRule type="expression" priority="67" id="{22D64DFE-7C19-4F38-B8DA-BC358C5419D7}">
            <xm:f>'P&amp;L'!K15&lt;AVERAGE('P&amp;L'!H15:J15)</xm:f>
            <x14:dxf>
              <fill>
                <patternFill>
                  <bgColor rgb="FFFF5050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expression" priority="83" id="{16274F0A-108F-4DA4-ABE9-ED3A141EC052}">
            <xm:f>'Balance Sheet'!K4&lt;'Balance Sheet'!J4</xm:f>
            <x14:dxf>
              <fill>
                <patternFill>
                  <bgColor rgb="FFFF5050"/>
                </patternFill>
              </fill>
            </x14:dxf>
          </x14:cfRule>
          <x14:cfRule type="expression" priority="82" id="{9FAE110F-F6B8-4CC2-8D50-DC144BE988CA}">
            <xm:f>'Balance Sheet'!K4&gt;'Balance Sheet'!J4</xm:f>
            <x14:dxf>
              <fill>
                <patternFill>
                  <bgColor theme="9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81" id="{B347C034-4002-4B71-91F2-7A20CF8466BF}">
            <xm:f>'Balance Sheet'!K5&gt;'Balance Sheet'!J5</xm:f>
            <x14:dxf>
              <fill>
                <patternFill>
                  <bgColor rgb="FFFF5050"/>
                </patternFill>
              </fill>
            </x14:dxf>
          </x14:cfRule>
          <x14:cfRule type="expression" priority="80" id="{6C0ACC18-BB11-4DF8-A360-355E62B68CE6}">
            <xm:f>'Balance Sheet'!K5&lt;'Balance Sheet'!J5</xm:f>
            <x14:dxf>
              <fill>
                <patternFill>
                  <bgColor theme="9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79" id="{EDF176D9-821D-4730-A9EC-A4AB34141630}">
            <xm:f>'Balance Sheet'!K9&lt;'Balance Sheet'!J9</xm:f>
            <x14:dxf>
              <fill>
                <patternFill>
                  <bgColor rgb="FFFF5050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expression" priority="76" id="{CBA8A035-AD99-4484-BC1C-EAE068912204}">
            <xm:f>'Balance Sheet'!K9&gt;'Balance Sheet'!J9</xm:f>
            <x14:dxf>
              <fill>
                <patternFill>
                  <bgColor theme="9"/>
                </patternFill>
              </fill>
            </x14:dxf>
          </x14:cfRule>
          <xm:sqref>B15:B16</xm:sqref>
        </x14:conditionalFormatting>
        <x14:conditionalFormatting xmlns:xm="http://schemas.microsoft.com/office/excel/2006/main">
          <x14:cfRule type="expression" priority="77" id="{03E5D72B-FF58-477A-87B2-62F525394E55}">
            <xm:f>'Balance Sheet'!K10&lt;'Balance Sheet'!J10</xm:f>
            <x14:dxf>
              <fill>
                <patternFill>
                  <bgColor theme="7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71" id="{C8FA78AA-C18C-4769-BB30-E8C0273A8C25}">
            <xm:f>'Balance Sheet'!K15&lt;'Balance Sheet'!J15</xm:f>
            <x14:dxf>
              <fill>
                <patternFill>
                  <bgColor theme="9"/>
                </patternFill>
              </fill>
            </x14:dxf>
          </x14:cfRule>
          <x14:cfRule type="expression" priority="72" id="{E4A135B8-EC32-4425-A0A3-EDD82521FB1A}">
            <xm:f>'Balance Sheet'!K15&gt;'Balance Sheet'!J15</xm:f>
            <x14:dxf>
              <fill>
                <patternFill>
                  <bgColor rgb="FFFF5050"/>
                </patternFill>
              </fill>
            </x14:dxf>
          </x14:cfRule>
          <xm:sqref>B17</xm:sqref>
        </x14:conditionalFormatting>
        <x14:conditionalFormatting xmlns:xm="http://schemas.microsoft.com/office/excel/2006/main">
          <x14:cfRule type="expression" priority="75" id="{0430E07C-409C-451F-9242-D7562DECBC5A}">
            <xm:f>'Balance Sheet'!K23&gt;'Balance Sheet'!J23</xm:f>
            <x14:dxf>
              <fill>
                <patternFill>
                  <bgColor rgb="FFFF5050"/>
                </patternFill>
              </fill>
            </x14:dxf>
          </x14:cfRule>
          <x14:cfRule type="expression" priority="74" id="{305D0510-59E9-4427-A28E-A1E2BBD32126}">
            <xm:f>'Balance Sheet'!K23&lt;'Balance Sheet'!J23</xm:f>
            <x14:dxf>
              <fill>
                <patternFill>
                  <bgColor theme="9"/>
                </patternFill>
              </fill>
            </x14:dxf>
          </x14:cfRule>
          <xm:sqref>B18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49F5-1AB8-D64B-8423-A5708DACFD1C}">
  <dimension ref="A1:K32"/>
  <sheetViews>
    <sheetView showGridLines="0" zoomScale="80" zoomScaleNormal="80" workbookViewId="0">
      <selection activeCell="C26" sqref="C26"/>
    </sheetView>
  </sheetViews>
  <sheetFormatPr defaultColWidth="8.7109375" defaultRowHeight="15" x14ac:dyDescent="0.25"/>
  <cols>
    <col min="1" max="1" width="30.42578125" style="8" bestFit="1" customWidth="1"/>
    <col min="2" max="2" width="13" style="8" bestFit="1" customWidth="1"/>
    <col min="3" max="3" width="10.140625" style="8" bestFit="1" customWidth="1"/>
    <col min="4" max="4" width="9.28515625" style="8" bestFit="1" customWidth="1"/>
    <col min="5" max="6" width="8.85546875" style="8" bestFit="1" customWidth="1"/>
    <col min="7" max="7" width="9.28515625" style="8" bestFit="1" customWidth="1"/>
    <col min="8" max="11" width="10.140625" style="8" bestFit="1" customWidth="1"/>
    <col min="12" max="16384" width="8.7109375" style="8"/>
  </cols>
  <sheetData>
    <row r="1" spans="1:11" ht="36.6" customHeight="1" thickBot="1" x14ac:dyDescent="0.3">
      <c r="A1" s="76" t="s">
        <v>86</v>
      </c>
      <c r="B1" s="138" t="str">
        <f>+'Data Sheet'!B1</f>
        <v>APAR INDUSTRIES LTD</v>
      </c>
      <c r="C1" s="139"/>
      <c r="D1" s="139"/>
      <c r="E1" s="139"/>
      <c r="F1" s="139"/>
      <c r="G1" s="139"/>
      <c r="H1" s="139"/>
      <c r="I1" s="139"/>
      <c r="J1" s="139"/>
      <c r="K1" s="139"/>
    </row>
    <row r="2" spans="1:11" ht="15.75" x14ac:dyDescent="0.25">
      <c r="A2" s="51" t="s">
        <v>26</v>
      </c>
      <c r="B2" s="72">
        <f>+'Data Sheet'!B41</f>
        <v>44834</v>
      </c>
      <c r="C2" s="72">
        <f>+'Data Sheet'!C41</f>
        <v>44926</v>
      </c>
      <c r="D2" s="72">
        <f>+'Data Sheet'!D41</f>
        <v>45016</v>
      </c>
      <c r="E2" s="72">
        <f>+'Data Sheet'!E41</f>
        <v>45107</v>
      </c>
      <c r="F2" s="72">
        <f>+'Data Sheet'!F41</f>
        <v>45199</v>
      </c>
      <c r="G2" s="72">
        <f>+'Data Sheet'!G41</f>
        <v>45291</v>
      </c>
      <c r="H2" s="72">
        <f>+'Data Sheet'!H41</f>
        <v>45382</v>
      </c>
      <c r="I2" s="72">
        <f>+'Data Sheet'!I41</f>
        <v>45473</v>
      </c>
      <c r="J2" s="72">
        <f>+'Data Sheet'!J41</f>
        <v>45565</v>
      </c>
      <c r="K2" s="72">
        <f>+'Data Sheet'!K41</f>
        <v>45657</v>
      </c>
    </row>
    <row r="3" spans="1:11" x14ac:dyDescent="0.25">
      <c r="A3" s="79" t="s">
        <v>11</v>
      </c>
      <c r="B3" s="58">
        <f>+'Data Sheet'!B42</f>
        <v>3234.88</v>
      </c>
      <c r="C3" s="58">
        <f>+'Data Sheet'!C42</f>
        <v>3938.92</v>
      </c>
      <c r="D3" s="58">
        <f>+'Data Sheet'!D42</f>
        <v>4084.33</v>
      </c>
      <c r="E3" s="58">
        <f>+'Data Sheet'!E42</f>
        <v>3767.09</v>
      </c>
      <c r="F3" s="58">
        <f>+'Data Sheet'!F42</f>
        <v>3925.46</v>
      </c>
      <c r="G3" s="58">
        <f>+'Data Sheet'!G42</f>
        <v>4008.53</v>
      </c>
      <c r="H3" s="58">
        <f>+'Data Sheet'!H42</f>
        <v>4455.1099999999997</v>
      </c>
      <c r="I3" s="58">
        <f>+'Data Sheet'!I42</f>
        <v>4010.52</v>
      </c>
      <c r="J3" s="58">
        <f>+'Data Sheet'!J42</f>
        <v>4644.51</v>
      </c>
      <c r="K3" s="58">
        <f>+'Data Sheet'!K42</f>
        <v>4716.42</v>
      </c>
    </row>
    <row r="4" spans="1:11" x14ac:dyDescent="0.25">
      <c r="A4" s="8" t="s">
        <v>28</v>
      </c>
      <c r="B4" s="65">
        <f>+'Data Sheet'!B50</f>
        <v>225.88</v>
      </c>
      <c r="C4" s="58">
        <f>+'Data Sheet'!C50</f>
        <v>343.22</v>
      </c>
      <c r="D4" s="65">
        <f>+'Data Sheet'!D50</f>
        <v>423.89</v>
      </c>
      <c r="E4" s="65">
        <f>+'Data Sheet'!E50</f>
        <v>346.12</v>
      </c>
      <c r="F4" s="65">
        <f>+'Data Sheet'!F50</f>
        <v>349.26</v>
      </c>
      <c r="G4" s="58">
        <f>+'Data Sheet'!G50</f>
        <v>404.96</v>
      </c>
      <c r="H4" s="65">
        <f>+'Data Sheet'!H50</f>
        <v>426.71</v>
      </c>
      <c r="I4" s="65">
        <f>+'Data Sheet'!I50</f>
        <v>375.63</v>
      </c>
      <c r="J4" s="65">
        <f>+'Data Sheet'!J50</f>
        <v>356.54</v>
      </c>
      <c r="K4" s="58">
        <f>+'Data Sheet'!K50</f>
        <v>356.02</v>
      </c>
    </row>
    <row r="5" spans="1:11" x14ac:dyDescent="0.25">
      <c r="A5" s="8" t="s">
        <v>19</v>
      </c>
      <c r="B5" s="66">
        <f>+'Data Sheet'!B44</f>
        <v>12.22</v>
      </c>
      <c r="C5" s="86">
        <f>+'Data Sheet'!C44</f>
        <v>6.63</v>
      </c>
      <c r="D5" s="66">
        <f>+'Data Sheet'!D44</f>
        <v>10.68</v>
      </c>
      <c r="E5" s="66">
        <f>+'Data Sheet'!E44</f>
        <v>13.86</v>
      </c>
      <c r="F5" s="66">
        <f>+'Data Sheet'!F44</f>
        <v>18.760000000000002</v>
      </c>
      <c r="G5" s="86">
        <f>+'Data Sheet'!G44</f>
        <v>21</v>
      </c>
      <c r="H5" s="66">
        <f>+'Data Sheet'!H44</f>
        <v>27.46</v>
      </c>
      <c r="I5" s="66">
        <f>+'Data Sheet'!I44</f>
        <v>16.22</v>
      </c>
      <c r="J5" s="66">
        <f>+'Data Sheet'!J44</f>
        <v>32.81</v>
      </c>
      <c r="K5" s="86">
        <f>+'Data Sheet'!K44</f>
        <v>34.18</v>
      </c>
    </row>
    <row r="6" spans="1:11" x14ac:dyDescent="0.25">
      <c r="A6" s="10" t="s">
        <v>57</v>
      </c>
      <c r="B6" s="57">
        <f>+B5+B4</f>
        <v>238.1</v>
      </c>
      <c r="C6" s="59">
        <f t="shared" ref="C6:K6" si="0">+C5+C4</f>
        <v>349.85</v>
      </c>
      <c r="D6" s="57">
        <f t="shared" si="0"/>
        <v>434.57</v>
      </c>
      <c r="E6" s="57">
        <f t="shared" si="0"/>
        <v>359.98</v>
      </c>
      <c r="F6" s="57">
        <f t="shared" si="0"/>
        <v>368.02</v>
      </c>
      <c r="G6" s="59">
        <f t="shared" si="0"/>
        <v>425.96</v>
      </c>
      <c r="H6" s="57">
        <f t="shared" si="0"/>
        <v>454.16999999999996</v>
      </c>
      <c r="I6" s="57">
        <f t="shared" si="0"/>
        <v>391.85</v>
      </c>
      <c r="J6" s="57">
        <f t="shared" si="0"/>
        <v>389.35</v>
      </c>
      <c r="K6" s="59">
        <f t="shared" si="0"/>
        <v>390.2</v>
      </c>
    </row>
    <row r="7" spans="1:11" x14ac:dyDescent="0.25">
      <c r="A7" s="8" t="s">
        <v>21</v>
      </c>
      <c r="B7" s="66">
        <f>-'Data Sheet'!B46</f>
        <v>-71.14</v>
      </c>
      <c r="C7" s="86">
        <f>-'Data Sheet'!C46</f>
        <v>-93.96</v>
      </c>
      <c r="D7" s="66">
        <f>-'Data Sheet'!D46</f>
        <v>-79.09</v>
      </c>
      <c r="E7" s="66">
        <f>-'Data Sheet'!E46</f>
        <v>-69.599999999999994</v>
      </c>
      <c r="F7" s="66">
        <f>-'Data Sheet'!F46</f>
        <v>-103.08</v>
      </c>
      <c r="G7" s="86">
        <f>-'Data Sheet'!G46</f>
        <v>-112.82</v>
      </c>
      <c r="H7" s="66">
        <f>-'Data Sheet'!H46</f>
        <v>-101.08</v>
      </c>
      <c r="I7" s="66">
        <f>-'Data Sheet'!I46</f>
        <v>-90.35</v>
      </c>
      <c r="J7" s="66">
        <f>-'Data Sheet'!J46</f>
        <v>-100.56</v>
      </c>
      <c r="K7" s="86">
        <f>-'Data Sheet'!K46</f>
        <v>-118.35</v>
      </c>
    </row>
    <row r="8" spans="1:11" x14ac:dyDescent="0.25">
      <c r="A8" s="8" t="s">
        <v>20</v>
      </c>
      <c r="B8" s="66">
        <f>-'Data Sheet'!B45</f>
        <v>-26.05</v>
      </c>
      <c r="C8" s="86">
        <f>-'Data Sheet'!C45</f>
        <v>-26.08</v>
      </c>
      <c r="D8" s="66">
        <f>-'Data Sheet'!D45</f>
        <v>-27.28</v>
      </c>
      <c r="E8" s="66">
        <f>-'Data Sheet'!E45</f>
        <v>-27.23</v>
      </c>
      <c r="F8" s="66">
        <f>-'Data Sheet'!F45</f>
        <v>-28.17</v>
      </c>
      <c r="G8" s="86">
        <f>-'Data Sheet'!G45</f>
        <v>-28.84</v>
      </c>
      <c r="H8" s="66">
        <f>-'Data Sheet'!H45</f>
        <v>-31.47</v>
      </c>
      <c r="I8" s="66">
        <f>-'Data Sheet'!I45</f>
        <v>-31.11</v>
      </c>
      <c r="J8" s="66">
        <f>-'Data Sheet'!J45</f>
        <v>-32.06</v>
      </c>
      <c r="K8" s="86">
        <f>-'Data Sheet'!K45</f>
        <v>-33.369999999999997</v>
      </c>
    </row>
    <row r="9" spans="1:11" x14ac:dyDescent="0.25">
      <c r="A9" s="10" t="s">
        <v>58</v>
      </c>
      <c r="B9" s="57">
        <f>+B6+B7+B8</f>
        <v>140.90999999999997</v>
      </c>
      <c r="C9" s="59">
        <f t="shared" ref="C9:K9" si="1">+C6+C7+C8</f>
        <v>229.81000000000006</v>
      </c>
      <c r="D9" s="57">
        <f t="shared" si="1"/>
        <v>328.20000000000005</v>
      </c>
      <c r="E9" s="57">
        <f t="shared" si="1"/>
        <v>263.14999999999998</v>
      </c>
      <c r="F9" s="57">
        <f t="shared" si="1"/>
        <v>236.76999999999998</v>
      </c>
      <c r="G9" s="59">
        <f t="shared" si="1"/>
        <v>284.3</v>
      </c>
      <c r="H9" s="57">
        <f t="shared" si="1"/>
        <v>321.62</v>
      </c>
      <c r="I9" s="57">
        <f t="shared" si="1"/>
        <v>270.39</v>
      </c>
      <c r="J9" s="57">
        <f t="shared" si="1"/>
        <v>256.73</v>
      </c>
      <c r="K9" s="59">
        <f t="shared" si="1"/>
        <v>238.48000000000002</v>
      </c>
    </row>
    <row r="10" spans="1:11" x14ac:dyDescent="0.25">
      <c r="A10" s="8" t="s">
        <v>23</v>
      </c>
      <c r="B10" s="66">
        <f>-'Data Sheet'!B48</f>
        <v>-38.28</v>
      </c>
      <c r="C10" s="86">
        <f>-'Data Sheet'!C48</f>
        <v>-59.91</v>
      </c>
      <c r="D10" s="66">
        <f>-'Data Sheet'!D48</f>
        <v>-85.47</v>
      </c>
      <c r="E10" s="66">
        <f>-'Data Sheet'!E48</f>
        <v>-65.72</v>
      </c>
      <c r="F10" s="66">
        <f>-'Data Sheet'!F48</f>
        <v>-62.89</v>
      </c>
      <c r="G10" s="86">
        <f>-'Data Sheet'!G48</f>
        <v>-66.73</v>
      </c>
      <c r="H10" s="66">
        <f>-'Data Sheet'!H48</f>
        <v>-85.4</v>
      </c>
      <c r="I10" s="66">
        <f>-'Data Sheet'!I48</f>
        <v>-67.849999999999994</v>
      </c>
      <c r="J10" s="66">
        <f>-'Data Sheet'!J48</f>
        <v>-62.85</v>
      </c>
      <c r="K10" s="86">
        <f>-'Data Sheet'!K48</f>
        <v>-63.56</v>
      </c>
    </row>
    <row r="11" spans="1:11" x14ac:dyDescent="0.25">
      <c r="A11" s="60" t="s">
        <v>101</v>
      </c>
      <c r="B11" s="58">
        <f>+B10+B9</f>
        <v>102.62999999999997</v>
      </c>
      <c r="C11" s="58">
        <f t="shared" ref="C11:K11" si="2">+C10+C9</f>
        <v>169.90000000000006</v>
      </c>
      <c r="D11" s="58">
        <f t="shared" si="2"/>
        <v>242.73000000000005</v>
      </c>
      <c r="E11" s="58">
        <f t="shared" si="2"/>
        <v>197.42999999999998</v>
      </c>
      <c r="F11" s="58">
        <f t="shared" si="2"/>
        <v>173.88</v>
      </c>
      <c r="G11" s="58">
        <f t="shared" si="2"/>
        <v>217.57</v>
      </c>
      <c r="H11" s="58">
        <f t="shared" si="2"/>
        <v>236.22</v>
      </c>
      <c r="I11" s="58">
        <f t="shared" si="2"/>
        <v>202.54</v>
      </c>
      <c r="J11" s="58">
        <f t="shared" si="2"/>
        <v>193.88000000000002</v>
      </c>
      <c r="K11" s="58">
        <f t="shared" si="2"/>
        <v>174.92000000000002</v>
      </c>
    </row>
    <row r="12" spans="1:11" ht="15.75" thickBot="1" x14ac:dyDescent="0.3">
      <c r="A12" s="29" t="s">
        <v>111</v>
      </c>
      <c r="B12" s="67"/>
      <c r="C12" s="87"/>
      <c r="D12" s="67"/>
      <c r="E12" s="67"/>
      <c r="F12" s="67"/>
      <c r="G12" s="87"/>
      <c r="H12" s="67"/>
      <c r="I12" s="67"/>
      <c r="J12" s="67"/>
      <c r="K12" s="87"/>
    </row>
    <row r="13" spans="1:11" x14ac:dyDescent="0.25">
      <c r="B13" s="68"/>
      <c r="C13" s="79"/>
      <c r="D13" s="68"/>
      <c r="E13" s="68"/>
      <c r="F13" s="68"/>
      <c r="G13" s="79"/>
      <c r="H13" s="68"/>
      <c r="I13" s="68"/>
      <c r="J13" s="68"/>
      <c r="K13" s="79"/>
    </row>
    <row r="14" spans="1:11" x14ac:dyDescent="0.25">
      <c r="B14" s="68"/>
      <c r="C14" s="79"/>
      <c r="D14" s="68"/>
      <c r="E14" s="68"/>
      <c r="F14" s="68"/>
      <c r="G14" s="79"/>
      <c r="H14" s="68"/>
      <c r="I14" s="68"/>
      <c r="J14" s="68"/>
      <c r="K14" s="79"/>
    </row>
    <row r="15" spans="1:11" x14ac:dyDescent="0.25">
      <c r="A15" s="101" t="s">
        <v>102</v>
      </c>
      <c r="B15" s="77">
        <f t="shared" ref="B15:K15" si="3">IF(B4&gt;0,B4/B3,"n/m")</f>
        <v>6.9826392323671965E-2</v>
      </c>
      <c r="C15" s="77">
        <f t="shared" si="3"/>
        <v>8.7135560001218609E-2</v>
      </c>
      <c r="D15" s="77">
        <f t="shared" si="3"/>
        <v>0.10378446403694118</v>
      </c>
      <c r="E15" s="77">
        <f t="shared" si="3"/>
        <v>9.1879939157280557E-2</v>
      </c>
      <c r="F15" s="77">
        <f t="shared" si="3"/>
        <v>8.8973012080112907E-2</v>
      </c>
      <c r="G15" s="77">
        <f t="shared" si="3"/>
        <v>0.10102456511489248</v>
      </c>
      <c r="H15" s="77">
        <f t="shared" si="3"/>
        <v>9.5779902179744164E-2</v>
      </c>
      <c r="I15" s="77">
        <f t="shared" si="3"/>
        <v>9.366117111995452E-2</v>
      </c>
      <c r="J15" s="77">
        <f t="shared" si="3"/>
        <v>7.6765902108080292E-2</v>
      </c>
      <c r="K15" s="77">
        <f t="shared" si="3"/>
        <v>7.5485219721738092E-2</v>
      </c>
    </row>
    <row r="16" spans="1:11" x14ac:dyDescent="0.25">
      <c r="A16" s="1" t="s">
        <v>59</v>
      </c>
      <c r="B16" s="69">
        <f t="shared" ref="B16:K16" si="4">IF(B11&gt;0,B11/B3,"n/m")</f>
        <v>3.1726060935799771E-2</v>
      </c>
      <c r="C16" s="78">
        <f t="shared" si="4"/>
        <v>4.313365084845594E-2</v>
      </c>
      <c r="D16" s="69">
        <f t="shared" si="4"/>
        <v>5.9429575964723723E-2</v>
      </c>
      <c r="E16" s="69">
        <f t="shared" si="4"/>
        <v>5.2409154015433654E-2</v>
      </c>
      <c r="F16" s="69">
        <f t="shared" si="4"/>
        <v>4.4295445629302044E-2</v>
      </c>
      <c r="G16" s="78">
        <f t="shared" si="4"/>
        <v>5.4276754820345607E-2</v>
      </c>
      <c r="H16" s="69">
        <f t="shared" si="4"/>
        <v>5.3022259831968239E-2</v>
      </c>
      <c r="I16" s="69">
        <f t="shared" si="4"/>
        <v>5.0502179268523781E-2</v>
      </c>
      <c r="J16" s="69">
        <f t="shared" si="4"/>
        <v>4.1743908399379054E-2</v>
      </c>
      <c r="K16" s="78">
        <f t="shared" si="4"/>
        <v>3.7087451923280799E-2</v>
      </c>
    </row>
    <row r="17" spans="1:11" x14ac:dyDescent="0.25">
      <c r="A17" s="63" t="s">
        <v>60</v>
      </c>
      <c r="B17" s="78">
        <f t="shared" ref="B17:K17" si="5">IF(B10&lt;0,-B10/B9,"n/m")</f>
        <v>0.27166276346604223</v>
      </c>
      <c r="C17" s="78">
        <f t="shared" si="5"/>
        <v>0.26069361646577599</v>
      </c>
      <c r="D17" s="78">
        <f t="shared" si="5"/>
        <v>0.26042047531992685</v>
      </c>
      <c r="E17" s="78">
        <f t="shared" si="5"/>
        <v>0.24974349230476917</v>
      </c>
      <c r="F17" s="78">
        <f t="shared" si="5"/>
        <v>0.26561642099928201</v>
      </c>
      <c r="G17" s="78">
        <f t="shared" si="5"/>
        <v>0.2347168483995779</v>
      </c>
      <c r="H17" s="78">
        <f t="shared" si="5"/>
        <v>0.26553075057521303</v>
      </c>
      <c r="I17" s="78">
        <f t="shared" si="5"/>
        <v>0.25093383631051441</v>
      </c>
      <c r="J17" s="78">
        <f t="shared" si="5"/>
        <v>0.24480972227632142</v>
      </c>
      <c r="K17" s="78">
        <f t="shared" si="5"/>
        <v>0.2665213015766521</v>
      </c>
    </row>
    <row r="18" spans="1:11" x14ac:dyDescent="0.25">
      <c r="A18" s="1" t="s">
        <v>61</v>
      </c>
      <c r="B18" s="70">
        <f t="shared" ref="B18:K18" si="6">IFERROR((B9-B7)/(-B7),"n/m")</f>
        <v>2.9807421984818663</v>
      </c>
      <c r="C18" s="88">
        <f t="shared" si="6"/>
        <v>3.4458280119199665</v>
      </c>
      <c r="D18" s="70">
        <f t="shared" si="6"/>
        <v>5.1497028701479337</v>
      </c>
      <c r="E18" s="70">
        <f t="shared" si="6"/>
        <v>4.7808908045977017</v>
      </c>
      <c r="F18" s="70">
        <f t="shared" si="6"/>
        <v>3.2969538222739616</v>
      </c>
      <c r="G18" s="88">
        <f t="shared" si="6"/>
        <v>3.5199432724694204</v>
      </c>
      <c r="H18" s="70">
        <f t="shared" si="6"/>
        <v>4.1818361693707953</v>
      </c>
      <c r="I18" s="70">
        <f t="shared" si="6"/>
        <v>3.9926950747094634</v>
      </c>
      <c r="J18" s="70">
        <f t="shared" si="6"/>
        <v>3.5530031821797934</v>
      </c>
      <c r="K18" s="88">
        <f t="shared" si="6"/>
        <v>3.0150401351922271</v>
      </c>
    </row>
    <row r="19" spans="1:11" x14ac:dyDescent="0.25">
      <c r="A19" s="19"/>
      <c r="B19" s="71"/>
      <c r="C19" s="89"/>
      <c r="D19" s="71"/>
      <c r="E19" s="71"/>
      <c r="F19" s="71"/>
      <c r="G19" s="89"/>
      <c r="H19" s="71"/>
      <c r="I19" s="71"/>
      <c r="J19" s="71"/>
      <c r="K19" s="89"/>
    </row>
    <row r="21" spans="1:11" x14ac:dyDescent="0.25">
      <c r="A21" s="28" t="s">
        <v>111</v>
      </c>
      <c r="B21" s="120">
        <f>(B11 * 100000000 )/'Data Sheet'!B70</f>
        <v>266.5956645409322</v>
      </c>
    </row>
    <row r="24" spans="1:11" x14ac:dyDescent="0.25">
      <c r="A24" s="4"/>
    </row>
    <row r="25" spans="1:11" x14ac:dyDescent="0.25">
      <c r="A25" s="4"/>
    </row>
    <row r="26" spans="1:11" x14ac:dyDescent="0.25">
      <c r="A26" s="4"/>
    </row>
    <row r="27" spans="1:11" x14ac:dyDescent="0.25">
      <c r="A27" s="4"/>
    </row>
    <row r="28" spans="1:11" x14ac:dyDescent="0.25">
      <c r="A28" s="4"/>
    </row>
    <row r="29" spans="1:11" x14ac:dyDescent="0.25">
      <c r="A29" s="4"/>
    </row>
    <row r="30" spans="1:11" x14ac:dyDescent="0.25">
      <c r="A30" s="4"/>
    </row>
    <row r="31" spans="1:11" x14ac:dyDescent="0.25">
      <c r="A31" s="4"/>
    </row>
    <row r="32" spans="1:11" x14ac:dyDescent="0.25">
      <c r="A32" s="4"/>
    </row>
  </sheetData>
  <mergeCells count="1">
    <mergeCell ref="B1:K1"/>
  </mergeCells>
  <conditionalFormatting sqref="B15:K17">
    <cfRule type="cellIs" dxfId="39" priority="14" operator="lessThan">
      <formula>A15</formula>
    </cfRule>
  </conditionalFormatting>
  <conditionalFormatting sqref="B15:K19">
    <cfRule type="cellIs" dxfId="38" priority="10" operator="greaterThan">
      <formula>A15</formula>
    </cfRule>
  </conditionalFormatting>
  <conditionalFormatting sqref="B18:K19">
    <cfRule type="cellIs" dxfId="37" priority="9" operator="lessThan">
      <formula>A18</formula>
    </cfRule>
  </conditionalFormatting>
  <conditionalFormatting sqref="C3:K3">
    <cfRule type="cellIs" dxfId="36" priority="3" operator="greaterThan">
      <formula>XFC3</formula>
    </cfRule>
    <cfRule type="cellIs" dxfId="35" priority="4" operator="lessThan">
      <formula>XFC3</formula>
    </cfRule>
  </conditionalFormatting>
  <conditionalFormatting sqref="C11:K11">
    <cfRule type="cellIs" dxfId="34" priority="1" operator="greaterThan">
      <formula>XFC11</formula>
    </cfRule>
    <cfRule type="cellIs" dxfId="33" priority="2" operator="lessThan">
      <formula>XFC11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3"/>
  <sheetViews>
    <sheetView showGridLines="0" zoomScale="80" zoomScaleNormal="80" workbookViewId="0">
      <selection activeCell="B2" sqref="B2:K2"/>
    </sheetView>
  </sheetViews>
  <sheetFormatPr defaultColWidth="8.7109375" defaultRowHeight="15" x14ac:dyDescent="0.25"/>
  <cols>
    <col min="1" max="1" width="31.28515625" style="8" bestFit="1" customWidth="1"/>
    <col min="2" max="2" width="13" style="8" bestFit="1" customWidth="1"/>
    <col min="3" max="11" width="9.5703125" style="8" bestFit="1" customWidth="1"/>
    <col min="12" max="12" width="12.85546875" style="8" bestFit="1" customWidth="1"/>
    <col min="13" max="16384" width="8.7109375" style="8"/>
  </cols>
  <sheetData>
    <row r="1" spans="1:12" ht="27.6" customHeight="1" thickBot="1" x14ac:dyDescent="0.3">
      <c r="A1" s="50" t="s">
        <v>0</v>
      </c>
      <c r="B1" s="140" t="str">
        <f>+'Data Sheet'!B1</f>
        <v>APAR INDUSTRIES LTD</v>
      </c>
      <c r="C1" s="141"/>
      <c r="D1" s="141"/>
      <c r="E1" s="141"/>
      <c r="F1" s="141"/>
      <c r="G1" s="141"/>
      <c r="H1" s="141"/>
      <c r="I1" s="141"/>
      <c r="J1" s="141"/>
      <c r="K1" s="141"/>
      <c r="L1" s="142"/>
    </row>
    <row r="2" spans="1:12" ht="15.75" x14ac:dyDescent="0.25">
      <c r="A2" s="51" t="s">
        <v>54</v>
      </c>
      <c r="B2" s="52">
        <f>+'Data Sheet'!B16</f>
        <v>42094</v>
      </c>
      <c r="C2" s="52">
        <f>+'Data Sheet'!C16</f>
        <v>42460</v>
      </c>
      <c r="D2" s="52">
        <f>+'Data Sheet'!D16</f>
        <v>42825</v>
      </c>
      <c r="E2" s="52">
        <f>+'Data Sheet'!E16</f>
        <v>43190</v>
      </c>
      <c r="F2" s="52">
        <f>+'Data Sheet'!F16</f>
        <v>43555</v>
      </c>
      <c r="G2" s="52">
        <f>+'Data Sheet'!G16</f>
        <v>43921</v>
      </c>
      <c r="H2" s="52">
        <f>+'Data Sheet'!H16</f>
        <v>44286</v>
      </c>
      <c r="I2" s="52">
        <f>+'Data Sheet'!I16</f>
        <v>44651</v>
      </c>
      <c r="J2" s="52">
        <f>+'Data Sheet'!J16</f>
        <v>45016</v>
      </c>
      <c r="K2" s="52">
        <f>+'Data Sheet'!K16</f>
        <v>45382</v>
      </c>
      <c r="L2" s="53" t="s">
        <v>55</v>
      </c>
    </row>
    <row r="3" spans="1:12" s="56" customFormat="1" x14ac:dyDescent="0.25">
      <c r="A3" s="60" t="s">
        <v>11</v>
      </c>
      <c r="B3" s="59">
        <f>+'Data Sheet'!B17</f>
        <v>5107.67</v>
      </c>
      <c r="C3" s="59">
        <f>+'Data Sheet'!C17</f>
        <v>5078.49</v>
      </c>
      <c r="D3" s="59">
        <f>+'Data Sheet'!D17</f>
        <v>4831.92</v>
      </c>
      <c r="E3" s="59">
        <f>+'Data Sheet'!E17</f>
        <v>5818.48</v>
      </c>
      <c r="F3" s="59">
        <f>+'Data Sheet'!F17</f>
        <v>7963.62</v>
      </c>
      <c r="G3" s="59">
        <f>+'Data Sheet'!G17</f>
        <v>7425.23</v>
      </c>
      <c r="H3" s="59">
        <f>+'Data Sheet'!H17</f>
        <v>6388.02</v>
      </c>
      <c r="I3" s="59">
        <f>+'Data Sheet'!I17</f>
        <v>9316.57</v>
      </c>
      <c r="J3" s="59">
        <f>+'Data Sheet'!J17</f>
        <v>14336.3</v>
      </c>
      <c r="K3" s="59">
        <f>+'Data Sheet'!K17</f>
        <v>16152.98</v>
      </c>
      <c r="L3" s="59">
        <f>SUM('Data Sheet'!H42:K42)</f>
        <v>17826.559999999998</v>
      </c>
    </row>
    <row r="4" spans="1:12" x14ac:dyDescent="0.25">
      <c r="A4" s="8" t="s">
        <v>28</v>
      </c>
      <c r="B4" s="12">
        <f>SUM('Data Sheet'!B17-'Data Sheet'!B18+'Data Sheet'!B19)-SUM('Data Sheet'!B20:B24)</f>
        <v>264.34000000000015</v>
      </c>
      <c r="C4" s="12">
        <f>SUM('Data Sheet'!C17-'Data Sheet'!C18+'Data Sheet'!C19)-SUM('Data Sheet'!C20:C24)</f>
        <v>380.39999999999964</v>
      </c>
      <c r="D4" s="12">
        <f>SUM('Data Sheet'!D17-'Data Sheet'!D18+'Data Sheet'!D19)-SUM('Data Sheet'!D20:D24)</f>
        <v>433.56000000000017</v>
      </c>
      <c r="E4" s="12">
        <f>SUM('Data Sheet'!E17-'Data Sheet'!E18+'Data Sheet'!E19)-SUM('Data Sheet'!E20:E24)</f>
        <v>425.62999999999931</v>
      </c>
      <c r="F4" s="12">
        <f>SUM('Data Sheet'!F17-'Data Sheet'!F18+'Data Sheet'!F19)-SUM('Data Sheet'!F20:F24)</f>
        <v>491.29000000000019</v>
      </c>
      <c r="G4" s="12">
        <f>SUM('Data Sheet'!G17-'Data Sheet'!G18+'Data Sheet'!G19)-SUM('Data Sheet'!G20:G24)</f>
        <v>495.4899999999991</v>
      </c>
      <c r="H4" s="12">
        <f>SUM('Data Sheet'!H17-'Data Sheet'!H18+'Data Sheet'!H19)-SUM('Data Sheet'!H20:H24)</f>
        <v>439.86000000000035</v>
      </c>
      <c r="I4" s="12">
        <f>SUM('Data Sheet'!I17-'Data Sheet'!I18+'Data Sheet'!I19)-SUM('Data Sheet'!I20:I24)</f>
        <v>577.97</v>
      </c>
      <c r="J4" s="12">
        <f>SUM('Data Sheet'!J17-'Data Sheet'!J18+'Data Sheet'!J19)-SUM('Data Sheet'!J20:J24)</f>
        <v>1267.05</v>
      </c>
      <c r="K4" s="12">
        <f>SUM('Data Sheet'!K17-'Data Sheet'!K18+'Data Sheet'!K19)-SUM('Data Sheet'!K20:K24)</f>
        <v>1567.7399999999993</v>
      </c>
      <c r="L4" s="9">
        <f>SUM('Data Sheet'!H50:K50)</f>
        <v>1514.8999999999999</v>
      </c>
    </row>
    <row r="5" spans="1:12" x14ac:dyDescent="0.25">
      <c r="A5" s="8" t="s">
        <v>19</v>
      </c>
      <c r="B5" s="12">
        <f>+'Data Sheet'!B25</f>
        <v>1.23</v>
      </c>
      <c r="C5" s="12">
        <f>+'Data Sheet'!C25</f>
        <v>10.039999999999999</v>
      </c>
      <c r="D5" s="12">
        <f>+'Data Sheet'!D25</f>
        <v>15.33</v>
      </c>
      <c r="E5" s="12">
        <f>+'Data Sheet'!E25</f>
        <v>11.08</v>
      </c>
      <c r="F5" s="12">
        <f>+'Data Sheet'!F25</f>
        <v>14.72</v>
      </c>
      <c r="G5" s="12">
        <f>+'Data Sheet'!G25</f>
        <v>15.18</v>
      </c>
      <c r="H5" s="12">
        <f>+'Data Sheet'!H25</f>
        <v>18.61</v>
      </c>
      <c r="I5" s="12">
        <f>+'Data Sheet'!I25</f>
        <v>32.61</v>
      </c>
      <c r="J5" s="12">
        <f>+'Data Sheet'!J25</f>
        <v>35.96</v>
      </c>
      <c r="K5" s="12">
        <f>+'Data Sheet'!K25</f>
        <v>85.89</v>
      </c>
    </row>
    <row r="6" spans="1:12" x14ac:dyDescent="0.25">
      <c r="A6" s="8" t="s">
        <v>57</v>
      </c>
      <c r="B6" s="12">
        <f>+B5+B4</f>
        <v>265.57000000000016</v>
      </c>
      <c r="C6" s="12">
        <f t="shared" ref="C6:K6" si="0">+C5+C4</f>
        <v>390.43999999999966</v>
      </c>
      <c r="D6" s="12">
        <f t="shared" si="0"/>
        <v>448.89000000000016</v>
      </c>
      <c r="E6" s="12">
        <f t="shared" si="0"/>
        <v>436.7099999999993</v>
      </c>
      <c r="F6" s="12">
        <f t="shared" si="0"/>
        <v>506.01000000000022</v>
      </c>
      <c r="G6" s="12">
        <f t="shared" si="0"/>
        <v>510.66999999999911</v>
      </c>
      <c r="H6" s="12">
        <f t="shared" si="0"/>
        <v>458.47000000000037</v>
      </c>
      <c r="I6" s="12">
        <f t="shared" si="0"/>
        <v>610.58000000000004</v>
      </c>
      <c r="J6" s="12">
        <f t="shared" si="0"/>
        <v>1303.01</v>
      </c>
      <c r="K6" s="12">
        <f t="shared" si="0"/>
        <v>1653.6299999999994</v>
      </c>
    </row>
    <row r="7" spans="1:12" x14ac:dyDescent="0.25">
      <c r="A7" s="8" t="s">
        <v>21</v>
      </c>
      <c r="B7" s="12">
        <f>-'Data Sheet'!B27</f>
        <v>-161.88999999999999</v>
      </c>
      <c r="C7" s="12">
        <f>-'Data Sheet'!C27</f>
        <v>-175.14</v>
      </c>
      <c r="D7" s="12">
        <f>-'Data Sheet'!D27</f>
        <v>-130.52000000000001</v>
      </c>
      <c r="E7" s="12">
        <f>-'Data Sheet'!E27</f>
        <v>-158.07</v>
      </c>
      <c r="F7" s="12">
        <f>-'Data Sheet'!F27</f>
        <v>-223.12</v>
      </c>
      <c r="G7" s="12">
        <f>-'Data Sheet'!G27</f>
        <v>-254.14</v>
      </c>
      <c r="H7" s="12">
        <f>-'Data Sheet'!H27</f>
        <v>-156.76</v>
      </c>
      <c r="I7" s="12">
        <f>-'Data Sheet'!I27</f>
        <v>-170.74</v>
      </c>
      <c r="J7" s="12">
        <f>-'Data Sheet'!J27</f>
        <v>-344.11</v>
      </c>
      <c r="K7" s="12">
        <f>-'Data Sheet'!K27</f>
        <v>-432.07</v>
      </c>
    </row>
    <row r="8" spans="1:12" x14ac:dyDescent="0.25">
      <c r="A8" s="8" t="s">
        <v>20</v>
      </c>
      <c r="B8" s="12">
        <f>-'Data Sheet'!B26</f>
        <v>-31.21</v>
      </c>
      <c r="C8" s="12">
        <f>-'Data Sheet'!C26</f>
        <v>-37.76</v>
      </c>
      <c r="D8" s="12">
        <f>-'Data Sheet'!D26</f>
        <v>-44.97</v>
      </c>
      <c r="E8" s="12">
        <f>-'Data Sheet'!E26</f>
        <v>-55.87</v>
      </c>
      <c r="F8" s="12">
        <f>-'Data Sheet'!F26</f>
        <v>-66.67</v>
      </c>
      <c r="G8" s="12">
        <f>-'Data Sheet'!G26</f>
        <v>-87.12</v>
      </c>
      <c r="H8" s="12">
        <f>-'Data Sheet'!H26</f>
        <v>-93.44</v>
      </c>
      <c r="I8" s="12">
        <f>-'Data Sheet'!I26</f>
        <v>-97.84</v>
      </c>
      <c r="J8" s="12">
        <f>-'Data Sheet'!J26</f>
        <v>-104.34</v>
      </c>
      <c r="K8" s="12">
        <f>-'Data Sheet'!K26</f>
        <v>-115.71</v>
      </c>
    </row>
    <row r="9" spans="1:12" x14ac:dyDescent="0.25">
      <c r="A9" s="8" t="s">
        <v>58</v>
      </c>
      <c r="B9" s="12">
        <f>+B6+B7+B8</f>
        <v>72.470000000000169</v>
      </c>
      <c r="C9" s="12">
        <f t="shared" ref="C9:K9" si="1">+C6+C7+C8</f>
        <v>177.53999999999968</v>
      </c>
      <c r="D9" s="12">
        <f t="shared" si="1"/>
        <v>273.40000000000009</v>
      </c>
      <c r="E9" s="12">
        <f t="shared" si="1"/>
        <v>222.7699999999993</v>
      </c>
      <c r="F9" s="12">
        <f t="shared" si="1"/>
        <v>216.2200000000002</v>
      </c>
      <c r="G9" s="12">
        <f t="shared" si="1"/>
        <v>169.40999999999912</v>
      </c>
      <c r="H9" s="12">
        <f t="shared" si="1"/>
        <v>208.27000000000038</v>
      </c>
      <c r="I9" s="12">
        <f t="shared" si="1"/>
        <v>342</v>
      </c>
      <c r="J9" s="12">
        <f t="shared" si="1"/>
        <v>854.56</v>
      </c>
      <c r="K9" s="12">
        <f t="shared" si="1"/>
        <v>1105.8499999999995</v>
      </c>
      <c r="L9" s="12">
        <f>SUM('Data Sheet'!H47:K47)</f>
        <v>1087.22</v>
      </c>
    </row>
    <row r="10" spans="1:12" s="10" customFormat="1" x14ac:dyDescent="0.25">
      <c r="A10" s="10" t="s">
        <v>23</v>
      </c>
      <c r="B10" s="11">
        <f>-'Data Sheet'!B29</f>
        <v>-23.06</v>
      </c>
      <c r="C10" s="11">
        <f>-'Data Sheet'!C29</f>
        <v>-57.26</v>
      </c>
      <c r="D10" s="11">
        <f>-'Data Sheet'!D29</f>
        <v>-97.15</v>
      </c>
      <c r="E10" s="11">
        <f>-'Data Sheet'!E29</f>
        <v>-78.03</v>
      </c>
      <c r="F10" s="11">
        <f>-'Data Sheet'!F29</f>
        <v>-80.16</v>
      </c>
      <c r="G10" s="11">
        <f>-'Data Sheet'!G29</f>
        <v>-34.26</v>
      </c>
      <c r="H10" s="11">
        <f>-'Data Sheet'!H29</f>
        <v>-47.77</v>
      </c>
      <c r="I10" s="11">
        <f>-'Data Sheet'!I29</f>
        <v>-85.27</v>
      </c>
      <c r="J10" s="11">
        <f>-'Data Sheet'!J29</f>
        <v>-216.84</v>
      </c>
      <c r="K10" s="11">
        <f>-'Data Sheet'!K29</f>
        <v>-280.74</v>
      </c>
    </row>
    <row r="11" spans="1:12" s="56" customFormat="1" x14ac:dyDescent="0.25">
      <c r="A11" s="60" t="s">
        <v>85</v>
      </c>
      <c r="B11" s="59">
        <f>+B10+B9</f>
        <v>49.410000000000167</v>
      </c>
      <c r="C11" s="59">
        <f t="shared" ref="C11:K11" si="2">+C10+C9</f>
        <v>120.27999999999969</v>
      </c>
      <c r="D11" s="59">
        <f t="shared" si="2"/>
        <v>176.25000000000009</v>
      </c>
      <c r="E11" s="59">
        <f t="shared" si="2"/>
        <v>144.7399999999993</v>
      </c>
      <c r="F11" s="59">
        <f t="shared" si="2"/>
        <v>136.0600000000002</v>
      </c>
      <c r="G11" s="59">
        <f t="shared" si="2"/>
        <v>135.14999999999912</v>
      </c>
      <c r="H11" s="59">
        <f t="shared" si="2"/>
        <v>160.50000000000037</v>
      </c>
      <c r="I11" s="59">
        <f t="shared" si="2"/>
        <v>256.73</v>
      </c>
      <c r="J11" s="59">
        <f t="shared" si="2"/>
        <v>637.71999999999991</v>
      </c>
      <c r="K11" s="59">
        <f t="shared" si="2"/>
        <v>825.10999999999945</v>
      </c>
      <c r="L11" s="59">
        <f>SUM('Data Sheet'!H49:K49)</f>
        <v>807.56</v>
      </c>
    </row>
    <row r="12" spans="1:12" x14ac:dyDescent="0.25">
      <c r="A12" s="60" t="s">
        <v>111</v>
      </c>
      <c r="B12" s="121">
        <f>(B11 * 10000000 )/'Data Sheet'!B70</f>
        <v>12.834933045861355</v>
      </c>
      <c r="C12" s="121">
        <f>(C11 * 10000000 )/'Data Sheet'!C70</f>
        <v>31.244180518110415</v>
      </c>
      <c r="D12" s="121">
        <f>(D11 * 10000000 )/'Data Sheet'!D70</f>
        <v>46.056012630087359</v>
      </c>
      <c r="E12" s="121">
        <f>(E11 * 10000000 )/'Data Sheet'!E70</f>
        <v>37.82211215931239</v>
      </c>
      <c r="F12" s="121">
        <f>(F11 * 10000000 )/'Data Sheet'!F70</f>
        <v>35.553935196877681</v>
      </c>
      <c r="G12" s="121">
        <f>(G11 * 10000000 )/'Data Sheet'!G70</f>
        <v>35.316142450815668</v>
      </c>
      <c r="H12" s="121">
        <f>(H11 * 10000000 )/'Data Sheet'!H70</f>
        <v>41.940368948249834</v>
      </c>
      <c r="I12" s="121">
        <f>(I11 * 10000000 )/'Data Sheet'!I70</f>
        <v>67.086298567502524</v>
      </c>
      <c r="J12" s="121">
        <f>(J11 * 10000000 )/'Data Sheet'!J70</f>
        <v>166.64306595437893</v>
      </c>
      <c r="K12" s="121">
        <f>(K11 * 10000000 )/'Data Sheet'!K70</f>
        <v>205.41314715342165</v>
      </c>
      <c r="L12" s="113"/>
    </row>
    <row r="13" spans="1:12" x14ac:dyDescent="0.25">
      <c r="A13" s="61" t="s">
        <v>102</v>
      </c>
      <c r="B13" s="77">
        <f t="shared" ref="B13:L13" si="3">IF(B4&gt;0,B4/B3,"n/m")</f>
        <v>5.1753539285036058E-2</v>
      </c>
      <c r="C13" s="77">
        <f t="shared" si="3"/>
        <v>7.4904154581381402E-2</v>
      </c>
      <c r="D13" s="77">
        <f t="shared" si="3"/>
        <v>8.9728306760045728E-2</v>
      </c>
      <c r="E13" s="77">
        <f t="shared" si="3"/>
        <v>7.3151407240378816E-2</v>
      </c>
      <c r="F13" s="77">
        <f t="shared" si="3"/>
        <v>6.1691793430625794E-2</v>
      </c>
      <c r="G13" s="77">
        <f t="shared" si="3"/>
        <v>6.6730592857056167E-2</v>
      </c>
      <c r="H13" s="77">
        <f t="shared" si="3"/>
        <v>6.8857016728188128E-2</v>
      </c>
      <c r="I13" s="77">
        <f t="shared" si="3"/>
        <v>6.2036779630271661E-2</v>
      </c>
      <c r="J13" s="77">
        <f t="shared" si="3"/>
        <v>8.8380544491953997E-2</v>
      </c>
      <c r="K13" s="77">
        <f t="shared" si="3"/>
        <v>9.7055775466817845E-2</v>
      </c>
      <c r="L13" s="14">
        <f t="shared" si="3"/>
        <v>8.4979940044517852E-2</v>
      </c>
    </row>
    <row r="14" spans="1:12" x14ac:dyDescent="0.25">
      <c r="A14" s="17" t="s">
        <v>59</v>
      </c>
      <c r="B14" s="31">
        <f t="shared" ref="B14:L14" si="4">IF(B11&gt;0,B11/B3,"n/m")</f>
        <v>9.6736868278491303E-3</v>
      </c>
      <c r="C14" s="31">
        <f t="shared" si="4"/>
        <v>2.3684205344501948E-2</v>
      </c>
      <c r="D14" s="31">
        <f t="shared" si="4"/>
        <v>3.6476183380519563E-2</v>
      </c>
      <c r="E14" s="31">
        <f t="shared" si="4"/>
        <v>2.4875912609478645E-2</v>
      </c>
      <c r="F14" s="31">
        <f t="shared" si="4"/>
        <v>1.7085194923916535E-2</v>
      </c>
      <c r="G14" s="31">
        <f t="shared" si="4"/>
        <v>1.8201456385862676E-2</v>
      </c>
      <c r="H14" s="31">
        <f t="shared" si="4"/>
        <v>2.5125156151671466E-2</v>
      </c>
      <c r="I14" s="31">
        <f t="shared" si="4"/>
        <v>2.7556278759242943E-2</v>
      </c>
      <c r="J14" s="31">
        <f t="shared" si="4"/>
        <v>4.4482886100318766E-2</v>
      </c>
      <c r="K14" s="31">
        <f t="shared" si="4"/>
        <v>5.1080977008576715E-2</v>
      </c>
      <c r="L14" s="16">
        <f t="shared" si="4"/>
        <v>4.5300944209090262E-2</v>
      </c>
    </row>
    <row r="15" spans="1:12" x14ac:dyDescent="0.25">
      <c r="A15" s="62" t="s">
        <v>60</v>
      </c>
      <c r="B15" s="78">
        <f t="shared" ref="B15:K15" si="5">IF(B10&lt;0,-B10/B9,"n/m")</f>
        <v>0.31820063474541116</v>
      </c>
      <c r="C15" s="78">
        <f t="shared" si="5"/>
        <v>0.32251886898727106</v>
      </c>
      <c r="D15" s="78">
        <f t="shared" si="5"/>
        <v>0.3553401609363569</v>
      </c>
      <c r="E15" s="78">
        <f t="shared" si="5"/>
        <v>0.35027158055393565</v>
      </c>
      <c r="F15" s="78">
        <f t="shared" si="5"/>
        <v>0.37073351216353678</v>
      </c>
      <c r="G15" s="78">
        <f t="shared" si="5"/>
        <v>0.20223127324243065</v>
      </c>
      <c r="H15" s="78">
        <f t="shared" si="5"/>
        <v>0.22936572718106263</v>
      </c>
      <c r="I15" s="78">
        <f t="shared" si="5"/>
        <v>0.24932748538011695</v>
      </c>
      <c r="J15" s="78">
        <f t="shared" si="5"/>
        <v>0.25374461711290025</v>
      </c>
      <c r="K15" s="78">
        <f t="shared" si="5"/>
        <v>0.25386806528914424</v>
      </c>
      <c r="L15" s="17"/>
    </row>
    <row r="16" spans="1:12" x14ac:dyDescent="0.25">
      <c r="A16" s="17" t="s">
        <v>74</v>
      </c>
      <c r="B16" s="31">
        <f>IF('Data Sheet'!B31&gt;0,'Data Sheet'!B31/'Data Sheet'!B30,"n/m")</f>
        <v>0.27226822864067868</v>
      </c>
      <c r="C16" s="31">
        <f>IF('Data Sheet'!C31&gt;0,'Data Sheet'!C31/'Data Sheet'!C30,"n/m")</f>
        <v>0.20560440463472759</v>
      </c>
      <c r="D16" s="31">
        <f>IF('Data Sheet'!D31&gt;0,'Data Sheet'!D31/'Data Sheet'!D30,"n/m")</f>
        <v>0.21674123577051596</v>
      </c>
      <c r="E16" s="31">
        <f>IF('Data Sheet'!E31&gt;0,'Data Sheet'!E31/'Data Sheet'!E30,"n/m")</f>
        <v>0.25120906452950115</v>
      </c>
      <c r="F16" s="31">
        <f>IF('Data Sheet'!F31&gt;0,'Data Sheet'!F31/'Data Sheet'!F30,"n/m")</f>
        <v>0.26723504336322212</v>
      </c>
      <c r="G16" s="31">
        <f>IF('Data Sheet'!G31&gt;0,'Data Sheet'!G31/'Data Sheet'!G30,"n/m")</f>
        <v>0.26903440621531632</v>
      </c>
      <c r="H16" s="31">
        <f>IF('Data Sheet'!H31&gt;0,'Data Sheet'!H31/'Data Sheet'!H30,"n/m")</f>
        <v>0.22654205607476635</v>
      </c>
      <c r="I16" s="31">
        <f>IF('Data Sheet'!I31&gt;0,'Data Sheet'!I31/'Data Sheet'!I30,"n/m")</f>
        <v>0.22358119425076928</v>
      </c>
      <c r="J16" s="31">
        <f>IF('Data Sheet'!J31&gt;0,'Data Sheet'!J31/'Data Sheet'!J30,"n/m")</f>
        <v>0.24004265194756319</v>
      </c>
      <c r="K16" s="31">
        <f>IF('Data Sheet'!K31&gt;0,'Data Sheet'!K31/'Data Sheet'!K30,"n/m")</f>
        <v>0.24829416683836095</v>
      </c>
      <c r="L16" s="17"/>
    </row>
    <row r="17" spans="1:11" ht="15.75" thickBot="1" x14ac:dyDescent="0.3"/>
    <row r="18" spans="1:11" ht="16.5" thickBot="1" x14ac:dyDescent="0.3">
      <c r="A18" s="143" t="s">
        <v>79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5"/>
    </row>
    <row r="19" spans="1:11" ht="15.75" x14ac:dyDescent="0.25">
      <c r="A19" s="54" t="s">
        <v>76</v>
      </c>
      <c r="B19" s="55">
        <f t="shared" ref="B19:K19" si="6">+B2</f>
        <v>42094</v>
      </c>
      <c r="C19" s="55">
        <f t="shared" si="6"/>
        <v>42460</v>
      </c>
      <c r="D19" s="55">
        <f t="shared" si="6"/>
        <v>42825</v>
      </c>
      <c r="E19" s="55">
        <f t="shared" si="6"/>
        <v>43190</v>
      </c>
      <c r="F19" s="55">
        <f t="shared" si="6"/>
        <v>43555</v>
      </c>
      <c r="G19" s="55">
        <f t="shared" si="6"/>
        <v>43921</v>
      </c>
      <c r="H19" s="55">
        <f t="shared" si="6"/>
        <v>44286</v>
      </c>
      <c r="I19" s="55">
        <f t="shared" si="6"/>
        <v>44651</v>
      </c>
      <c r="J19" s="55">
        <f t="shared" si="6"/>
        <v>45016</v>
      </c>
      <c r="K19" s="55">
        <f t="shared" si="6"/>
        <v>45382</v>
      </c>
    </row>
    <row r="20" spans="1:11" x14ac:dyDescent="0.25">
      <c r="A20" s="10" t="s">
        <v>11</v>
      </c>
      <c r="B20" s="46">
        <f>'Data Sheet'!B17/'P&amp;L'!B$3</f>
        <v>1</v>
      </c>
      <c r="C20" s="46">
        <f>'Data Sheet'!C17/'P&amp;L'!C$3</f>
        <v>1</v>
      </c>
      <c r="D20" s="46">
        <f>'Data Sheet'!D17/'P&amp;L'!D$3</f>
        <v>1</v>
      </c>
      <c r="E20" s="46">
        <f>'Data Sheet'!E17/'P&amp;L'!E$3</f>
        <v>1</v>
      </c>
      <c r="F20" s="46">
        <f>'Data Sheet'!F17/'P&amp;L'!F$3</f>
        <v>1</v>
      </c>
      <c r="G20" s="46">
        <f>'Data Sheet'!G17/'P&amp;L'!G$3</f>
        <v>1</v>
      </c>
      <c r="H20" s="46">
        <f>'Data Sheet'!H17/'P&amp;L'!H$3</f>
        <v>1</v>
      </c>
      <c r="I20" s="46">
        <f>'Data Sheet'!I17/'P&amp;L'!I$3</f>
        <v>1</v>
      </c>
      <c r="J20" s="46">
        <f>'Data Sheet'!J17/'P&amp;L'!J$3</f>
        <v>1</v>
      </c>
      <c r="K20" s="46">
        <f>'Data Sheet'!K17/'P&amp;L'!K$3</f>
        <v>1</v>
      </c>
    </row>
    <row r="21" spans="1:11" x14ac:dyDescent="0.25">
      <c r="A21" s="8" t="s">
        <v>78</v>
      </c>
      <c r="B21" s="47">
        <f>'Data Sheet'!B18/'P&amp;L'!B$3</f>
        <v>0.81737269635665577</v>
      </c>
      <c r="C21" s="47">
        <f>'Data Sheet'!C18/'P&amp;L'!C$3</f>
        <v>0.75828445069302097</v>
      </c>
      <c r="D21" s="47">
        <f>'Data Sheet'!D18/'P&amp;L'!D$3</f>
        <v>0.7529905296445305</v>
      </c>
      <c r="E21" s="47">
        <f>'Data Sheet'!E18/'P&amp;L'!E$3</f>
        <v>0.77211746023016326</v>
      </c>
      <c r="F21" s="47">
        <f>'Data Sheet'!F18/'P&amp;L'!F$3</f>
        <v>0.81150029760335118</v>
      </c>
      <c r="G21" s="47">
        <f>'Data Sheet'!G18/'P&amp;L'!G$3</f>
        <v>0.79083610878046884</v>
      </c>
      <c r="H21" s="47">
        <f>'Data Sheet'!H18/'P&amp;L'!H$3</f>
        <v>0.74432296705395407</v>
      </c>
      <c r="I21" s="47">
        <f>'Data Sheet'!I18/'P&amp;L'!I$3</f>
        <v>0.81027996354881682</v>
      </c>
      <c r="J21" s="47">
        <f>'Data Sheet'!J18/'P&amp;L'!J$3</f>
        <v>0.79594316525184317</v>
      </c>
      <c r="K21" s="47">
        <f>'Data Sheet'!K18/'P&amp;L'!K$3</f>
        <v>0.78506257049782768</v>
      </c>
    </row>
    <row r="22" spans="1:11" x14ac:dyDescent="0.25">
      <c r="A22" s="8" t="s">
        <v>13</v>
      </c>
      <c r="B22" s="48">
        <f>-'Data Sheet'!B19/'P&amp;L'!B$3</f>
        <v>-1.7579444247572767E-2</v>
      </c>
      <c r="C22" s="48">
        <f>-'Data Sheet'!C19/'P&amp;L'!C$3</f>
        <v>1.057597829276025E-2</v>
      </c>
      <c r="D22" s="48">
        <f>-'Data Sheet'!D19/'P&amp;L'!D$3</f>
        <v>-1.3566035861520885E-2</v>
      </c>
      <c r="E22" s="48">
        <f>-'Data Sheet'!E19/'P&amp;L'!E$3</f>
        <v>4.2794681772559162E-4</v>
      </c>
      <c r="F22" s="48">
        <f>-'Data Sheet'!F19/'P&amp;L'!F$3</f>
        <v>-1.586213305004508E-2</v>
      </c>
      <c r="G22" s="48">
        <f>-'Data Sheet'!G19/'P&amp;L'!G$3</f>
        <v>-2.2197292205089945E-2</v>
      </c>
      <c r="H22" s="48">
        <f>-'Data Sheet'!H19/'P&amp;L'!H$3</f>
        <v>7.0992263643507685E-3</v>
      </c>
      <c r="I22" s="48">
        <f>-'Data Sheet'!I19/'P&amp;L'!I$3</f>
        <v>-3.662399359420903E-2</v>
      </c>
      <c r="J22" s="48">
        <f>-'Data Sheet'!J19/'P&amp;L'!J$3</f>
        <v>-2.3343540523008032E-2</v>
      </c>
      <c r="K22" s="48">
        <f>-'Data Sheet'!K19/'P&amp;L'!K$3</f>
        <v>-8.737087521930937E-3</v>
      </c>
    </row>
    <row r="23" spans="1:11" x14ac:dyDescent="0.25">
      <c r="A23" s="8" t="s">
        <v>83</v>
      </c>
      <c r="B23" s="47">
        <f>'Data Sheet'!B20/'P&amp;L'!B$3</f>
        <v>1.162173750457645E-2</v>
      </c>
      <c r="C23" s="47">
        <f>'Data Sheet'!C20/'P&amp;L'!C$3</f>
        <v>1.1109601476029293E-2</v>
      </c>
      <c r="D23" s="47">
        <f>'Data Sheet'!D20/'P&amp;L'!D$3</f>
        <v>1.2661633470752828E-2</v>
      </c>
      <c r="E23" s="47">
        <f>'Data Sheet'!E20/'P&amp;L'!E$3</f>
        <v>1.0396185945470296E-2</v>
      </c>
      <c r="F23" s="47">
        <f>'Data Sheet'!F20/'P&amp;L'!F$3</f>
        <v>1.2658815965603584E-2</v>
      </c>
      <c r="G23" s="47">
        <f>'Data Sheet'!G20/'P&amp;L'!G$3</f>
        <v>1.2360559874912967E-2</v>
      </c>
      <c r="H23" s="47">
        <f>'Data Sheet'!H20/'P&amp;L'!H$3</f>
        <v>1.2254188308740423E-2</v>
      </c>
      <c r="I23" s="47">
        <f>'Data Sheet'!I20/'P&amp;L'!I$3</f>
        <v>9.6580608528675262E-3</v>
      </c>
      <c r="J23" s="47">
        <f>'Data Sheet'!J20/'P&amp;L'!J$3</f>
        <v>8.8614217057399764E-3</v>
      </c>
      <c r="K23" s="47">
        <f>'Data Sheet'!K20/'P&amp;L'!K$3</f>
        <v>9.8991022090041594E-3</v>
      </c>
    </row>
    <row r="24" spans="1:11" x14ac:dyDescent="0.25">
      <c r="A24" s="45" t="s">
        <v>80</v>
      </c>
      <c r="B24" s="47">
        <f>'Data Sheet'!B21/'P&amp;L'!B$3</f>
        <v>5.6518921543482648E-2</v>
      </c>
      <c r="C24" s="47">
        <f>'Data Sheet'!C21/'P&amp;L'!C$3</f>
        <v>6.1390295146785755E-2</v>
      </c>
      <c r="D24" s="47">
        <f>'Data Sheet'!D21/'P&amp;L'!D$3</f>
        <v>6.9837662875213161E-2</v>
      </c>
      <c r="E24" s="47">
        <f>'Data Sheet'!E21/'P&amp;L'!E$3</f>
        <v>5.8238577772889148E-2</v>
      </c>
      <c r="F24" s="47">
        <f>'Data Sheet'!F21/'P&amp;L'!F$3</f>
        <v>5.6805824486853972E-2</v>
      </c>
      <c r="G24" s="47">
        <f>'Data Sheet'!G21/'P&amp;L'!G$3</f>
        <v>6.3219590504267217E-2</v>
      </c>
      <c r="H24" s="47">
        <f>'Data Sheet'!H21/'P&amp;L'!H$3</f>
        <v>6.6252140725921338E-2</v>
      </c>
      <c r="I24" s="47">
        <f>'Data Sheet'!I21/'P&amp;L'!I$3</f>
        <v>5.4059594893828951E-2</v>
      </c>
      <c r="J24" s="47">
        <f>'Data Sheet'!J21/'P&amp;L'!J$3</f>
        <v>2.5155723582793329E-2</v>
      </c>
      <c r="K24" s="47">
        <f>'Data Sheet'!K21/'P&amp;L'!K$3</f>
        <v>2.9024984863474108E-2</v>
      </c>
    </row>
    <row r="25" spans="1:11" x14ac:dyDescent="0.25">
      <c r="A25" s="45" t="s">
        <v>81</v>
      </c>
      <c r="B25" s="47">
        <f>'Data Sheet'!B22/'P&amp;L'!B$3</f>
        <v>1.5950521470651E-2</v>
      </c>
      <c r="C25" s="47">
        <f>'Data Sheet'!C22/'P&amp;L'!C$3</f>
        <v>1.8989896603124157E-2</v>
      </c>
      <c r="D25" s="47">
        <f>'Data Sheet'!D22/'P&amp;L'!D$3</f>
        <v>2.3748323647742511E-2</v>
      </c>
      <c r="E25" s="47">
        <f>'Data Sheet'!E22/'P&amp;L'!E$3</f>
        <v>2.247150458539E-2</v>
      </c>
      <c r="F25" s="47">
        <f>'Data Sheet'!F22/'P&amp;L'!F$3</f>
        <v>1.9169674092937634E-2</v>
      </c>
      <c r="G25" s="47">
        <f>'Data Sheet'!G22/'P&amp;L'!G$3</f>
        <v>2.3235643879044827E-2</v>
      </c>
      <c r="H25" s="47">
        <f>'Data Sheet'!H22/'P&amp;L'!H$3</f>
        <v>2.5729412243543383E-2</v>
      </c>
      <c r="I25" s="47">
        <f>'Data Sheet'!I22/'P&amp;L'!I$3</f>
        <v>1.9183025512608181E-2</v>
      </c>
      <c r="J25" s="47">
        <f>'Data Sheet'!J22/'P&amp;L'!J$3</f>
        <v>1.6560758354666128E-2</v>
      </c>
      <c r="K25" s="47">
        <f>'Data Sheet'!K22/'P&amp;L'!K$3</f>
        <v>1.9331417484575602E-2</v>
      </c>
    </row>
    <row r="26" spans="1:11" x14ac:dyDescent="0.25">
      <c r="A26" s="45" t="s">
        <v>84</v>
      </c>
      <c r="B26" s="47">
        <f>'Data Sheet'!B23/'P&amp;L'!B$3</f>
        <v>5.7863957538368767E-2</v>
      </c>
      <c r="C26" s="47">
        <f>'Data Sheet'!C23/'P&amp;L'!C$3</f>
        <v>5.4640257241817945E-2</v>
      </c>
      <c r="D26" s="47">
        <f>'Data Sheet'!D23/'P&amp;L'!D$3</f>
        <v>5.5056789019685748E-2</v>
      </c>
      <c r="E26" s="47">
        <f>'Data Sheet'!E23/'P&amp;L'!E$3</f>
        <v>5.3947078962203188E-2</v>
      </c>
      <c r="F26" s="47">
        <f>'Data Sheet'!F23/'P&amp;L'!F$3</f>
        <v>4.6708657620529365E-2</v>
      </c>
      <c r="G26" s="47">
        <f>'Data Sheet'!G23/'P&amp;L'!G$3</f>
        <v>5.1652272050832095E-2</v>
      </c>
      <c r="H26" s="47">
        <f>'Data Sheet'!H23/'P&amp;L'!H$3</f>
        <v>6.4896478094933957E-2</v>
      </c>
      <c r="I26" s="47">
        <f>'Data Sheet'!I23/'P&amp;L'!I$3</f>
        <v>7.0777120764401485E-2</v>
      </c>
      <c r="J26" s="47">
        <f>'Data Sheet'!J23/'P&amp;L'!J$3</f>
        <v>7.9962054365491794E-2</v>
      </c>
      <c r="K26" s="47">
        <f>'Data Sheet'!K23/'P&amp;L'!K$3</f>
        <v>5.8639953742281613E-2</v>
      </c>
    </row>
    <row r="27" spans="1:11" x14ac:dyDescent="0.25">
      <c r="A27" s="45" t="s">
        <v>82</v>
      </c>
      <c r="B27" s="47">
        <f>'Data Sheet'!B24/'P&amp;L'!B$3</f>
        <v>6.4980705488020948E-3</v>
      </c>
      <c r="C27" s="47">
        <f>'Data Sheet'!C24/'P&amp;L'!C$3</f>
        <v>1.0105365965080172E-2</v>
      </c>
      <c r="D27" s="47">
        <f>'Data Sheet'!D24/'P&amp;L'!D$3</f>
        <v>9.5427904435503898E-3</v>
      </c>
      <c r="E27" s="47">
        <f>'Data Sheet'!E24/'P&amp;L'!E$3</f>
        <v>9.2498384457796543E-3</v>
      </c>
      <c r="F27" s="47">
        <f>'Data Sheet'!F24/'P&amp;L'!F$3</f>
        <v>7.3270698501435279E-3</v>
      </c>
      <c r="G27" s="47">
        <f>'Data Sheet'!G24/'P&amp;L'!G$3</f>
        <v>1.4162524258507817E-2</v>
      </c>
      <c r="H27" s="47">
        <f>'Data Sheet'!H24/'P&amp;L'!H$3</f>
        <v>1.0588570480367938E-2</v>
      </c>
      <c r="I27" s="47">
        <f>'Data Sheet'!I24/'P&amp;L'!I$3</f>
        <v>1.0629448391414437E-2</v>
      </c>
      <c r="J27" s="47">
        <f>'Data Sheet'!J24/'P&amp;L'!J$3</f>
        <v>8.4798727705195902E-3</v>
      </c>
      <c r="K27" s="47">
        <f>'Data Sheet'!K24/'P&amp;L'!K$3</f>
        <v>9.7232832579499263E-3</v>
      </c>
    </row>
    <row r="28" spans="1:11" x14ac:dyDescent="0.25">
      <c r="A28" s="30" t="s">
        <v>56</v>
      </c>
      <c r="B28" s="49">
        <f>B20-SUM(B21:B27)</f>
        <v>5.175353928503601E-2</v>
      </c>
      <c r="C28" s="32">
        <f t="shared" ref="C28:K28" si="7">C20-SUM(C21:C27)</f>
        <v>7.4904154581381555E-2</v>
      </c>
      <c r="D28" s="32">
        <f t="shared" si="7"/>
        <v>8.9728306760045728E-2</v>
      </c>
      <c r="E28" s="32">
        <f t="shared" si="7"/>
        <v>7.315140724037883E-2</v>
      </c>
      <c r="F28" s="32">
        <f t="shared" si="7"/>
        <v>6.1691793430625697E-2</v>
      </c>
      <c r="G28" s="32">
        <f t="shared" si="7"/>
        <v>6.6730592857056181E-2</v>
      </c>
      <c r="H28" s="32">
        <f t="shared" si="7"/>
        <v>6.8857016728188003E-2</v>
      </c>
      <c r="I28" s="32">
        <f t="shared" si="7"/>
        <v>6.2036779630271544E-2</v>
      </c>
      <c r="J28" s="32">
        <f t="shared" si="7"/>
        <v>8.8380544491954205E-2</v>
      </c>
      <c r="K28" s="32">
        <f t="shared" si="7"/>
        <v>9.7055775466817873E-2</v>
      </c>
    </row>
    <row r="30" spans="1:11" x14ac:dyDescent="0.25">
      <c r="A30" s="2" t="s">
        <v>45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ht="15.75" x14ac:dyDescent="0.25">
      <c r="A31" s="5" t="s">
        <v>10</v>
      </c>
      <c r="B31" s="52">
        <f>+'Data Sheet'!B16</f>
        <v>42094</v>
      </c>
      <c r="C31" s="52">
        <f>+'Data Sheet'!C16</f>
        <v>42460</v>
      </c>
      <c r="D31" s="52">
        <f>+'Data Sheet'!D16</f>
        <v>42825</v>
      </c>
      <c r="E31" s="52">
        <f>+'Data Sheet'!E16</f>
        <v>43190</v>
      </c>
      <c r="F31" s="52">
        <f>+'Data Sheet'!F16</f>
        <v>43555</v>
      </c>
      <c r="G31" s="52">
        <f>+'Data Sheet'!G16</f>
        <v>43921</v>
      </c>
      <c r="H31" s="52">
        <f>+'Data Sheet'!H16</f>
        <v>44286</v>
      </c>
      <c r="I31" s="52">
        <f>+'Data Sheet'!I16</f>
        <v>44651</v>
      </c>
      <c r="J31" s="52">
        <f>+'Data Sheet'!J16</f>
        <v>45016</v>
      </c>
      <c r="K31" s="52">
        <f>+'Data Sheet'!K16</f>
        <v>45382</v>
      </c>
    </row>
    <row r="32" spans="1:11" x14ac:dyDescent="0.25">
      <c r="A32" s="8" t="s">
        <v>46</v>
      </c>
      <c r="B32" s="8">
        <f>'Data Sheet'!B82</f>
        <v>298.43</v>
      </c>
      <c r="C32" s="8">
        <f>'Data Sheet'!C82</f>
        <v>411.76</v>
      </c>
      <c r="D32" s="8">
        <f>'Data Sheet'!D82</f>
        <v>312.44</v>
      </c>
      <c r="E32" s="8">
        <f>'Data Sheet'!E82</f>
        <v>225.04</v>
      </c>
      <c r="F32" s="8">
        <f>'Data Sheet'!F82</f>
        <v>632.04</v>
      </c>
      <c r="G32" s="8">
        <f>'Data Sheet'!G82</f>
        <v>94.17</v>
      </c>
      <c r="H32" s="8">
        <f>'Data Sheet'!H82</f>
        <v>281.37</v>
      </c>
      <c r="I32" s="8">
        <f>'Data Sheet'!I82</f>
        <v>243.75</v>
      </c>
      <c r="J32" s="8">
        <f>'Data Sheet'!J82</f>
        <v>698.34</v>
      </c>
      <c r="K32" s="8">
        <f>'Data Sheet'!K82</f>
        <v>-283.29000000000002</v>
      </c>
    </row>
    <row r="33" spans="1:12" x14ac:dyDescent="0.25">
      <c r="A33" s="8" t="s">
        <v>109</v>
      </c>
      <c r="B33" s="112">
        <f>B32/B11</f>
        <v>6.0398704715644405</v>
      </c>
      <c r="C33" s="112">
        <f t="shared" ref="C33:K33" si="8">C32/C11</f>
        <v>3.4233455271034341</v>
      </c>
      <c r="D33" s="112">
        <f t="shared" si="8"/>
        <v>1.7727092198581551</v>
      </c>
      <c r="E33" s="112">
        <f t="shared" si="8"/>
        <v>1.5547878955368322</v>
      </c>
      <c r="F33" s="112">
        <f t="shared" si="8"/>
        <v>4.645303542554748</v>
      </c>
      <c r="G33" s="112">
        <f t="shared" si="8"/>
        <v>0.6967813540510589</v>
      </c>
      <c r="H33" s="112">
        <f t="shared" si="8"/>
        <v>1.7530841121495286</v>
      </c>
      <c r="I33" s="112">
        <f t="shared" si="8"/>
        <v>0.94944104701437304</v>
      </c>
      <c r="J33" s="112">
        <f t="shared" si="8"/>
        <v>1.0950573919588535</v>
      </c>
      <c r="K33" s="112">
        <f t="shared" si="8"/>
        <v>-0.343336040043146</v>
      </c>
      <c r="L33" s="112"/>
    </row>
  </sheetData>
  <mergeCells count="2">
    <mergeCell ref="B1:L1"/>
    <mergeCell ref="A18:K18"/>
  </mergeCells>
  <conditionalFormatting sqref="C3:K3">
    <cfRule type="cellIs" dxfId="32" priority="3" operator="greaterThan">
      <formula>B3</formula>
    </cfRule>
    <cfRule type="cellIs" dxfId="31" priority="4" operator="lessThan">
      <formula>B3</formula>
    </cfRule>
  </conditionalFormatting>
  <conditionalFormatting sqref="C11:K12">
    <cfRule type="cellIs" dxfId="30" priority="1" operator="greaterThan">
      <formula>B11</formula>
    </cfRule>
    <cfRule type="cellIs" dxfId="29" priority="2" operator="lessThan">
      <formula>B11</formula>
    </cfRule>
  </conditionalFormatting>
  <conditionalFormatting sqref="C15:K16">
    <cfRule type="cellIs" dxfId="28" priority="10" operator="greaterThan">
      <formula>B15</formula>
    </cfRule>
    <cfRule type="cellIs" dxfId="27" priority="11" operator="lessThan">
      <formula>B15</formula>
    </cfRule>
  </conditionalFormatting>
  <conditionalFormatting sqref="C28:K28">
    <cfRule type="cellIs" dxfId="26" priority="8" operator="greaterThan">
      <formula>B28</formula>
    </cfRule>
    <cfRule type="cellIs" dxfId="25" priority="9" operator="lessThan">
      <formula>B28</formula>
    </cfRule>
  </conditionalFormatting>
  <conditionalFormatting sqref="C13:L14">
    <cfRule type="cellIs" dxfId="24" priority="22" operator="greaterThan">
      <formula>B13</formula>
    </cfRule>
    <cfRule type="cellIs" dxfId="23" priority="23" operator="lessThan">
      <formula>B13</formula>
    </cfRule>
  </conditionalFormatting>
  <pageMargins left="0.7" right="0.7" top="0.75" bottom="0.75" header="0.3" footer="0.3"/>
  <pageSetup paperSize="9" orientation="portrait" r:id="rId1"/>
  <ignoredErrors>
    <ignoredError sqref="L3:L4 L9 L1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7"/>
  <sheetViews>
    <sheetView showGridLines="0" zoomScale="80" zoomScaleNormal="80" workbookViewId="0">
      <selection activeCell="A27" sqref="A27"/>
    </sheetView>
  </sheetViews>
  <sheetFormatPr defaultColWidth="8.7109375" defaultRowHeight="15" x14ac:dyDescent="0.25"/>
  <cols>
    <col min="1" max="1" width="32.140625" style="8" bestFit="1" customWidth="1"/>
    <col min="2" max="10" width="9" style="8" bestFit="1" customWidth="1"/>
    <col min="11" max="11" width="9.5703125" style="8" bestFit="1" customWidth="1"/>
    <col min="12" max="16384" width="8.7109375" style="8"/>
  </cols>
  <sheetData>
    <row r="1" spans="1:11" ht="27.6" customHeight="1" thickBot="1" x14ac:dyDescent="0.3">
      <c r="A1" s="50" t="s">
        <v>92</v>
      </c>
      <c r="B1" s="146" t="str">
        <f>+'Data Sheet'!B1</f>
        <v>APAR INDUSTRIES LTD</v>
      </c>
      <c r="C1" s="147"/>
      <c r="D1" s="147"/>
      <c r="E1" s="147"/>
      <c r="F1" s="147"/>
      <c r="G1" s="147"/>
      <c r="H1" s="147"/>
      <c r="I1" s="147"/>
      <c r="J1" s="147"/>
      <c r="K1" s="147"/>
    </row>
    <row r="2" spans="1:11" ht="15.75" x14ac:dyDescent="0.25">
      <c r="A2" s="51" t="s">
        <v>54</v>
      </c>
      <c r="B2" s="52">
        <f>+'Data Sheet'!B16</f>
        <v>42094</v>
      </c>
      <c r="C2" s="52">
        <f>+'Data Sheet'!C16</f>
        <v>42460</v>
      </c>
      <c r="D2" s="52">
        <f>+'Data Sheet'!D16</f>
        <v>42825</v>
      </c>
      <c r="E2" s="52">
        <f>+'Data Sheet'!E16</f>
        <v>43190</v>
      </c>
      <c r="F2" s="52">
        <f>+'Data Sheet'!F16</f>
        <v>43555</v>
      </c>
      <c r="G2" s="52">
        <f>+'Data Sheet'!G16</f>
        <v>43921</v>
      </c>
      <c r="H2" s="52">
        <f>+'Data Sheet'!H16</f>
        <v>44286</v>
      </c>
      <c r="I2" s="52">
        <f>+'Data Sheet'!I16</f>
        <v>44651</v>
      </c>
      <c r="J2" s="52">
        <f>+'Data Sheet'!J16</f>
        <v>45016</v>
      </c>
      <c r="K2" s="52">
        <f>+'Data Sheet'!K16</f>
        <v>45382</v>
      </c>
    </row>
    <row r="3" spans="1:11" ht="15" customHeight="1" x14ac:dyDescent="0.25">
      <c r="A3" s="15" t="s">
        <v>30</v>
      </c>
      <c r="B3" s="23">
        <f>+'Data Sheet'!B57</f>
        <v>38.5</v>
      </c>
      <c r="C3" s="23">
        <f>+'Data Sheet'!C57</f>
        <v>38.5</v>
      </c>
      <c r="D3" s="23">
        <f>+'Data Sheet'!D57</f>
        <v>38.270000000000003</v>
      </c>
      <c r="E3" s="23">
        <f>+'Data Sheet'!E57</f>
        <v>38.270000000000003</v>
      </c>
      <c r="F3" s="23">
        <f>+'Data Sheet'!F57</f>
        <v>38.270000000000003</v>
      </c>
      <c r="G3" s="23">
        <f>+'Data Sheet'!G57</f>
        <v>38.270000000000003</v>
      </c>
      <c r="H3" s="23">
        <f>+'Data Sheet'!H57</f>
        <v>38.270000000000003</v>
      </c>
      <c r="I3" s="23">
        <f>+'Data Sheet'!I57</f>
        <v>38.270000000000003</v>
      </c>
      <c r="J3" s="23">
        <f>+'Data Sheet'!J57</f>
        <v>38.270000000000003</v>
      </c>
      <c r="K3" s="23">
        <f>+'Data Sheet'!K57</f>
        <v>40.17</v>
      </c>
    </row>
    <row r="4" spans="1:11" ht="15" customHeight="1" x14ac:dyDescent="0.25">
      <c r="A4" s="62" t="s">
        <v>31</v>
      </c>
      <c r="B4" s="59">
        <f>+'Data Sheet'!B58</f>
        <v>691.31</v>
      </c>
      <c r="C4" s="59">
        <f>+'Data Sheet'!C58</f>
        <v>815.44</v>
      </c>
      <c r="D4" s="59">
        <f>+'Data Sheet'!D58</f>
        <v>997.85</v>
      </c>
      <c r="E4" s="59">
        <f>+'Data Sheet'!E58</f>
        <v>1069.98</v>
      </c>
      <c r="F4" s="59">
        <f>+'Data Sheet'!F58</f>
        <v>1164.0999999999999</v>
      </c>
      <c r="G4" s="59">
        <f>+'Data Sheet'!G58</f>
        <v>1128.1600000000001</v>
      </c>
      <c r="H4" s="59">
        <f>+'Data Sheet'!H58</f>
        <v>1361.25</v>
      </c>
      <c r="I4" s="59">
        <f>+'Data Sheet'!I58</f>
        <v>1676.96</v>
      </c>
      <c r="J4" s="59">
        <f>+'Data Sheet'!J58</f>
        <v>2198.12</v>
      </c>
      <c r="K4" s="59">
        <f>+'Data Sheet'!K58</f>
        <v>3836.27</v>
      </c>
    </row>
    <row r="5" spans="1:11" ht="15" customHeight="1" x14ac:dyDescent="0.25">
      <c r="A5" s="62" t="s">
        <v>32</v>
      </c>
      <c r="B5" s="62">
        <f>+'Data Sheet'!B59</f>
        <v>494.16</v>
      </c>
      <c r="C5" s="64">
        <f>+'Data Sheet'!C59</f>
        <v>384.43</v>
      </c>
      <c r="D5" s="64">
        <f>+'Data Sheet'!D59</f>
        <v>304.62</v>
      </c>
      <c r="E5" s="64">
        <f>+'Data Sheet'!E59</f>
        <v>362.53</v>
      </c>
      <c r="F5" s="64">
        <f>+'Data Sheet'!F59</f>
        <v>253.28</v>
      </c>
      <c r="G5" s="64">
        <f>+'Data Sheet'!G59</f>
        <v>371.54</v>
      </c>
      <c r="H5" s="64">
        <f>+'Data Sheet'!H59</f>
        <v>324.81</v>
      </c>
      <c r="I5" s="64">
        <f>+'Data Sheet'!I59</f>
        <v>359.19</v>
      </c>
      <c r="J5" s="64">
        <f>+'Data Sheet'!J59</f>
        <v>376.23</v>
      </c>
      <c r="K5" s="64">
        <f>+'Data Sheet'!K59</f>
        <v>475.61</v>
      </c>
    </row>
    <row r="6" spans="1:11" ht="15" customHeight="1" x14ac:dyDescent="0.25">
      <c r="A6" s="17" t="s">
        <v>33</v>
      </c>
      <c r="B6" s="24">
        <f>+'Data Sheet'!B60</f>
        <v>1731.95</v>
      </c>
      <c r="C6" s="24">
        <f>+'Data Sheet'!C60</f>
        <v>1680.19</v>
      </c>
      <c r="D6" s="24">
        <f>+'Data Sheet'!D60</f>
        <v>2107.48</v>
      </c>
      <c r="E6" s="24">
        <f>+'Data Sheet'!E60</f>
        <v>2805.07</v>
      </c>
      <c r="F6" s="24">
        <f>+'Data Sheet'!F60</f>
        <v>3501.32</v>
      </c>
      <c r="G6" s="24">
        <f>+'Data Sheet'!G60</f>
        <v>3115.83</v>
      </c>
      <c r="H6" s="24">
        <f>+'Data Sheet'!H60</f>
        <v>3274.65</v>
      </c>
      <c r="I6" s="24">
        <f>+'Data Sheet'!I60</f>
        <v>4533.1000000000004</v>
      </c>
      <c r="J6" s="24">
        <f>+'Data Sheet'!J60</f>
        <v>5605.03</v>
      </c>
      <c r="K6" s="24">
        <f>+'Data Sheet'!K60</f>
        <v>5263.71</v>
      </c>
    </row>
    <row r="7" spans="1:11" ht="15" customHeight="1" x14ac:dyDescent="0.25">
      <c r="A7" s="19" t="s">
        <v>65</v>
      </c>
      <c r="B7" s="22">
        <f>SUM(B3:B6)</f>
        <v>2955.92</v>
      </c>
      <c r="C7" s="22">
        <f t="shared" ref="C7:K7" si="0">SUM(C3:C6)</f>
        <v>2918.5600000000004</v>
      </c>
      <c r="D7" s="22">
        <f t="shared" si="0"/>
        <v>3448.2200000000003</v>
      </c>
      <c r="E7" s="22">
        <f t="shared" si="0"/>
        <v>4275.8500000000004</v>
      </c>
      <c r="F7" s="22">
        <f t="shared" si="0"/>
        <v>4956.97</v>
      </c>
      <c r="G7" s="22">
        <f t="shared" si="0"/>
        <v>4653.8</v>
      </c>
      <c r="H7" s="22">
        <f t="shared" si="0"/>
        <v>4998.9799999999996</v>
      </c>
      <c r="I7" s="22">
        <f t="shared" si="0"/>
        <v>6607.52</v>
      </c>
      <c r="J7" s="22">
        <f t="shared" si="0"/>
        <v>8217.65</v>
      </c>
      <c r="K7" s="22">
        <f t="shared" si="0"/>
        <v>9615.76</v>
      </c>
    </row>
    <row r="8" spans="1:11" ht="15" customHeight="1" x14ac:dyDescent="0.25"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5" customHeight="1" x14ac:dyDescent="0.25">
      <c r="A9" s="61" t="s">
        <v>108</v>
      </c>
      <c r="B9" s="59">
        <f>+'Data Sheet'!B62</f>
        <v>394.56</v>
      </c>
      <c r="C9" s="59">
        <f>+'Data Sheet'!C62</f>
        <v>397.85</v>
      </c>
      <c r="D9" s="59">
        <f>+'Data Sheet'!D62</f>
        <v>573.87</v>
      </c>
      <c r="E9" s="59">
        <f>+'Data Sheet'!E62</f>
        <v>648.52</v>
      </c>
      <c r="F9" s="59">
        <f>+'Data Sheet'!F62</f>
        <v>708.84</v>
      </c>
      <c r="G9" s="59">
        <f>+'Data Sheet'!G62</f>
        <v>884.66</v>
      </c>
      <c r="H9" s="59">
        <f>+'Data Sheet'!H62</f>
        <v>877.91</v>
      </c>
      <c r="I9" s="59">
        <f>+'Data Sheet'!I62</f>
        <v>881.24</v>
      </c>
      <c r="J9" s="59">
        <f>+'Data Sheet'!J62</f>
        <v>950.48</v>
      </c>
      <c r="K9" s="59">
        <f>+'Data Sheet'!K62</f>
        <v>1192.83</v>
      </c>
    </row>
    <row r="10" spans="1:11" ht="15" customHeight="1" x14ac:dyDescent="0.25">
      <c r="A10" s="62" t="s">
        <v>107</v>
      </c>
      <c r="B10" s="64">
        <f>+'Data Sheet'!B63</f>
        <v>10.24</v>
      </c>
      <c r="C10" s="64">
        <f>+'Data Sheet'!C63</f>
        <v>56.11</v>
      </c>
      <c r="D10" s="64">
        <f>+'Data Sheet'!D63</f>
        <v>27.75</v>
      </c>
      <c r="E10" s="64">
        <f>+'Data Sheet'!E63</f>
        <v>19.5</v>
      </c>
      <c r="F10" s="64">
        <f>+'Data Sheet'!F63</f>
        <v>103.48</v>
      </c>
      <c r="G10" s="64">
        <f>+'Data Sheet'!G63</f>
        <v>54.71</v>
      </c>
      <c r="H10" s="64">
        <f>+'Data Sheet'!H63</f>
        <v>28.71</v>
      </c>
      <c r="I10" s="64">
        <f>+'Data Sheet'!I63</f>
        <v>38.49</v>
      </c>
      <c r="J10" s="64">
        <f>+'Data Sheet'!J63</f>
        <v>99.31</v>
      </c>
      <c r="K10" s="64">
        <f>+'Data Sheet'!K63</f>
        <v>122.45</v>
      </c>
    </row>
    <row r="11" spans="1:11" ht="15" customHeight="1" x14ac:dyDescent="0.25">
      <c r="A11" s="17" t="s">
        <v>37</v>
      </c>
      <c r="B11" s="21">
        <f>+'Data Sheet'!B64</f>
        <v>5.26</v>
      </c>
      <c r="C11" s="21">
        <f>+'Data Sheet'!C64</f>
        <v>112.45</v>
      </c>
      <c r="D11" s="21">
        <f>+'Data Sheet'!D64</f>
        <v>118.57</v>
      </c>
      <c r="E11" s="21">
        <f>+'Data Sheet'!E64</f>
        <v>0</v>
      </c>
      <c r="F11" s="21">
        <f>+'Data Sheet'!F64</f>
        <v>186.92</v>
      </c>
      <c r="G11" s="21">
        <f>+'Data Sheet'!G64</f>
        <v>0</v>
      </c>
      <c r="H11" s="21">
        <f>+'Data Sheet'!H64</f>
        <v>60.4</v>
      </c>
      <c r="I11" s="21">
        <f>+'Data Sheet'!I64</f>
        <v>30.52</v>
      </c>
      <c r="J11" s="21">
        <f>+'Data Sheet'!J64</f>
        <v>54.28</v>
      </c>
      <c r="K11" s="21">
        <f>+'Data Sheet'!K64</f>
        <v>10.76</v>
      </c>
    </row>
    <row r="12" spans="1:11" x14ac:dyDescent="0.25">
      <c r="A12" s="17" t="s">
        <v>38</v>
      </c>
      <c r="B12" s="21">
        <f>+'Data Sheet'!B65</f>
        <v>2545.86</v>
      </c>
      <c r="C12" s="21">
        <f>+'Data Sheet'!C65</f>
        <v>2352.15</v>
      </c>
      <c r="D12" s="21">
        <f>+'Data Sheet'!D65</f>
        <v>2728.03</v>
      </c>
      <c r="E12" s="21">
        <f>+'Data Sheet'!E65</f>
        <v>3607.83</v>
      </c>
      <c r="F12" s="21">
        <f>+'Data Sheet'!F65</f>
        <v>3957.73</v>
      </c>
      <c r="G12" s="21">
        <f>+'Data Sheet'!G65</f>
        <v>3714.43</v>
      </c>
      <c r="H12" s="21">
        <f>+'Data Sheet'!H65</f>
        <v>4031.96</v>
      </c>
      <c r="I12" s="21">
        <f>+'Data Sheet'!I65</f>
        <v>5657.27</v>
      </c>
      <c r="J12" s="21">
        <f>+'Data Sheet'!J65</f>
        <v>7113.58</v>
      </c>
      <c r="K12" s="21">
        <f>+'Data Sheet'!K65</f>
        <v>8289.7199999999993</v>
      </c>
    </row>
    <row r="13" spans="1:11" x14ac:dyDescent="0.25">
      <c r="A13" s="19" t="s">
        <v>66</v>
      </c>
      <c r="B13" s="22">
        <f>SUM(B9:B12)</f>
        <v>2955.92</v>
      </c>
      <c r="C13" s="22">
        <f t="shared" ref="C13:K13" si="1">SUM(C9:C12)</f>
        <v>2918.5600000000004</v>
      </c>
      <c r="D13" s="22">
        <f t="shared" si="1"/>
        <v>3448.2200000000003</v>
      </c>
      <c r="E13" s="22">
        <f t="shared" si="1"/>
        <v>4275.8500000000004</v>
      </c>
      <c r="F13" s="22">
        <f t="shared" si="1"/>
        <v>4956.97</v>
      </c>
      <c r="G13" s="22">
        <f t="shared" si="1"/>
        <v>4653.8</v>
      </c>
      <c r="H13" s="22">
        <f t="shared" si="1"/>
        <v>4998.9799999999996</v>
      </c>
      <c r="I13" s="22">
        <f t="shared" si="1"/>
        <v>6607.52</v>
      </c>
      <c r="J13" s="22">
        <f t="shared" si="1"/>
        <v>8217.65</v>
      </c>
      <c r="K13" s="22">
        <f t="shared" si="1"/>
        <v>9615.7599999999984</v>
      </c>
    </row>
    <row r="15" spans="1:11" x14ac:dyDescent="0.25">
      <c r="A15" s="61" t="s">
        <v>39</v>
      </c>
      <c r="B15" s="59">
        <f>+'Data Sheet'!B67</f>
        <v>1267</v>
      </c>
      <c r="C15" s="59">
        <f>+'Data Sheet'!C67</f>
        <v>1090.3900000000001</v>
      </c>
      <c r="D15" s="59">
        <f>+'Data Sheet'!D67</f>
        <v>1254.32</v>
      </c>
      <c r="E15" s="59">
        <f>+'Data Sheet'!E67</f>
        <v>1734.48</v>
      </c>
      <c r="F15" s="59">
        <f>+'Data Sheet'!F67</f>
        <v>2141.61</v>
      </c>
      <c r="G15" s="59">
        <f>+'Data Sheet'!G67</f>
        <v>1898.6</v>
      </c>
      <c r="H15" s="59">
        <f>+'Data Sheet'!H67</f>
        <v>1860.57</v>
      </c>
      <c r="I15" s="59">
        <f>+'Data Sheet'!I67</f>
        <v>2531.13</v>
      </c>
      <c r="J15" s="59">
        <f>+'Data Sheet'!J67</f>
        <v>3198.07</v>
      </c>
      <c r="K15" s="59">
        <f>+'Data Sheet'!K67</f>
        <v>3928.91</v>
      </c>
    </row>
    <row r="16" spans="1:11" x14ac:dyDescent="0.25">
      <c r="A16" s="17" t="s">
        <v>40</v>
      </c>
      <c r="B16" s="21">
        <f>+'Data Sheet'!B68</f>
        <v>944.25</v>
      </c>
      <c r="C16" s="21">
        <f>+'Data Sheet'!C68</f>
        <v>769.76</v>
      </c>
      <c r="D16" s="21">
        <f>+'Data Sheet'!D68</f>
        <v>993.54</v>
      </c>
      <c r="E16" s="21">
        <f>+'Data Sheet'!E68</f>
        <v>1212.26</v>
      </c>
      <c r="F16" s="21">
        <f>+'Data Sheet'!F68</f>
        <v>1282.8800000000001</v>
      </c>
      <c r="G16" s="21">
        <f>+'Data Sheet'!G68</f>
        <v>1331.43</v>
      </c>
      <c r="H16" s="21">
        <f>+'Data Sheet'!H68</f>
        <v>1562.71</v>
      </c>
      <c r="I16" s="21">
        <f>+'Data Sheet'!I68</f>
        <v>2138.65</v>
      </c>
      <c r="J16" s="21">
        <f>+'Data Sheet'!J68</f>
        <v>2575.64</v>
      </c>
      <c r="K16" s="21">
        <f>+'Data Sheet'!K68</f>
        <v>2864.46</v>
      </c>
    </row>
    <row r="17" spans="1:11" x14ac:dyDescent="0.25">
      <c r="A17" s="17" t="s">
        <v>41</v>
      </c>
      <c r="B17" s="21">
        <f>+'Data Sheet'!B69</f>
        <v>100.47</v>
      </c>
      <c r="C17" s="21">
        <f>+'Data Sheet'!C69</f>
        <v>133.86000000000001</v>
      </c>
      <c r="D17" s="21">
        <f>+'Data Sheet'!D69</f>
        <v>122.97</v>
      </c>
      <c r="E17" s="21">
        <f>+'Data Sheet'!E69</f>
        <v>274.37</v>
      </c>
      <c r="F17" s="21">
        <f>+'Data Sheet'!F69</f>
        <v>225.29</v>
      </c>
      <c r="G17" s="21">
        <f>+'Data Sheet'!G69</f>
        <v>176.23</v>
      </c>
      <c r="H17" s="21">
        <f>+'Data Sheet'!H69</f>
        <v>222.45</v>
      </c>
      <c r="I17" s="21">
        <f>+'Data Sheet'!I69</f>
        <v>266.41000000000003</v>
      </c>
      <c r="J17" s="21">
        <f>+'Data Sheet'!J69</f>
        <v>530.1</v>
      </c>
      <c r="K17" s="21">
        <f>+'Data Sheet'!K69</f>
        <v>646.03</v>
      </c>
    </row>
    <row r="18" spans="1:11" x14ac:dyDescent="0.25">
      <c r="A18" s="17" t="s">
        <v>62</v>
      </c>
      <c r="B18" s="21">
        <f>B12-B6</f>
        <v>813.91000000000008</v>
      </c>
      <c r="C18" s="21">
        <f t="shared" ref="C18:K18" si="2">C12-C6</f>
        <v>671.96</v>
      </c>
      <c r="D18" s="21">
        <f t="shared" si="2"/>
        <v>620.55000000000018</v>
      </c>
      <c r="E18" s="21">
        <f t="shared" si="2"/>
        <v>802.75999999999976</v>
      </c>
      <c r="F18" s="21">
        <f t="shared" si="2"/>
        <v>456.40999999999985</v>
      </c>
      <c r="G18" s="21">
        <f t="shared" si="2"/>
        <v>598.59999999999991</v>
      </c>
      <c r="H18" s="21">
        <f t="shared" si="2"/>
        <v>757.31</v>
      </c>
      <c r="I18" s="21">
        <f t="shared" si="2"/>
        <v>1124.17</v>
      </c>
      <c r="J18" s="21">
        <f t="shared" si="2"/>
        <v>1508.5500000000002</v>
      </c>
      <c r="K18" s="21">
        <f t="shared" si="2"/>
        <v>3026.0099999999993</v>
      </c>
    </row>
    <row r="19" spans="1:11" x14ac:dyDescent="0.25">
      <c r="A19" s="27" t="s">
        <v>73</v>
      </c>
      <c r="B19" s="21">
        <f>B3+B4+B5</f>
        <v>1223.97</v>
      </c>
      <c r="C19" s="21">
        <f t="shared" ref="C19:K19" si="3">C3+C4+C5</f>
        <v>1238.3700000000001</v>
      </c>
      <c r="D19" s="21">
        <f t="shared" si="3"/>
        <v>1340.7400000000002</v>
      </c>
      <c r="E19" s="21">
        <f t="shared" si="3"/>
        <v>1470.78</v>
      </c>
      <c r="F19" s="21">
        <f t="shared" si="3"/>
        <v>1455.6499999999999</v>
      </c>
      <c r="G19" s="21">
        <f t="shared" si="3"/>
        <v>1537.97</v>
      </c>
      <c r="H19" s="21">
        <f t="shared" si="3"/>
        <v>1724.33</v>
      </c>
      <c r="I19" s="21">
        <f t="shared" si="3"/>
        <v>2074.42</v>
      </c>
      <c r="J19" s="21">
        <f t="shared" si="3"/>
        <v>2612.62</v>
      </c>
      <c r="K19" s="21">
        <f t="shared" si="3"/>
        <v>4352.05</v>
      </c>
    </row>
    <row r="20" spans="1:11" x14ac:dyDescent="0.25">
      <c r="A20" s="20" t="s">
        <v>67</v>
      </c>
      <c r="B20" s="25">
        <f>B3+B4</f>
        <v>729.81</v>
      </c>
      <c r="C20" s="25">
        <f t="shared" ref="C20:K20" si="4">C3+C4</f>
        <v>853.94</v>
      </c>
      <c r="D20" s="25">
        <f t="shared" si="4"/>
        <v>1036.1200000000001</v>
      </c>
      <c r="E20" s="25">
        <f t="shared" si="4"/>
        <v>1108.25</v>
      </c>
      <c r="F20" s="25">
        <f t="shared" si="4"/>
        <v>1202.3699999999999</v>
      </c>
      <c r="G20" s="25">
        <f t="shared" si="4"/>
        <v>1166.43</v>
      </c>
      <c r="H20" s="25">
        <f t="shared" si="4"/>
        <v>1399.52</v>
      </c>
      <c r="I20" s="25">
        <f t="shared" si="4"/>
        <v>1715.23</v>
      </c>
      <c r="J20" s="25">
        <f t="shared" si="4"/>
        <v>2236.39</v>
      </c>
      <c r="K20" s="25">
        <f t="shared" si="4"/>
        <v>3876.44</v>
      </c>
    </row>
    <row r="22" spans="1:11" x14ac:dyDescent="0.25">
      <c r="A22" s="13" t="s">
        <v>68</v>
      </c>
      <c r="B22" s="15"/>
      <c r="C22" s="26">
        <f>IFERROR('P&amp;L'!C3/AVERAGE('Balance Sheet'!B9:C9),"n/m")</f>
        <v>12.817834201991392</v>
      </c>
      <c r="D22" s="26">
        <f>IFERROR('P&amp;L'!D3/AVERAGE('Balance Sheet'!C9:D9),"n/m")</f>
        <v>9.9450870621166594</v>
      </c>
      <c r="E22" s="26">
        <f>IFERROR('P&amp;L'!E3/AVERAGE('Balance Sheet'!D9:E9),"n/m")</f>
        <v>9.5198422761966306</v>
      </c>
      <c r="F22" s="26">
        <f>IFERROR('P&amp;L'!F3/AVERAGE('Balance Sheet'!E9:F9),"n/m")</f>
        <v>11.733983615253138</v>
      </c>
      <c r="G22" s="26">
        <f>IFERROR('P&amp;L'!G3/AVERAGE('Balance Sheet'!F9:G9),"n/m")</f>
        <v>9.3193975525572625</v>
      </c>
      <c r="H22" s="26">
        <f>IFERROR('P&amp;L'!H3/AVERAGE('Balance Sheet'!G9:H9),"n/m")</f>
        <v>7.2485291364314612</v>
      </c>
      <c r="I22" s="26">
        <f>IFERROR('P&amp;L'!I3/AVERAGE('Balance Sheet'!H9:I9),"n/m")</f>
        <v>10.592126879458828</v>
      </c>
      <c r="J22" s="26">
        <f>IFERROR('P&amp;L'!J3/AVERAGE('Balance Sheet'!I9:J9),"n/m")</f>
        <v>15.653374969973576</v>
      </c>
      <c r="K22" s="26">
        <f>IFERROR('P&amp;L'!K3/AVERAGE('Balance Sheet'!J9:K9),"n/m")</f>
        <v>15.072929254284261</v>
      </c>
    </row>
    <row r="23" spans="1:11" x14ac:dyDescent="0.25">
      <c r="A23" s="63" t="s">
        <v>88</v>
      </c>
      <c r="B23" s="62"/>
      <c r="C23" s="64">
        <f>IFERROR(365/('P&amp;L'!C3/AVERAGE('Balance Sheet'!B15:C15)),"n/m")</f>
        <v>84.714880801183057</v>
      </c>
      <c r="D23" s="64">
        <f>IFERROR(365/('P&amp;L'!D3/AVERAGE('Balance Sheet'!C15:D15)),"n/m")</f>
        <v>88.558911364426564</v>
      </c>
      <c r="E23" s="64">
        <f>IFERROR(365/('P&amp;L'!E3/AVERAGE('Balance Sheet'!D15:E15)),"n/m")</f>
        <v>93.745445545915786</v>
      </c>
      <c r="F23" s="64">
        <f>IFERROR(365/('P&amp;L'!F3/AVERAGE('Balance Sheet'!E15:F15)),"n/m")</f>
        <v>88.827245021736346</v>
      </c>
      <c r="G23" s="64">
        <f>IFERROR(365/('P&amp;L'!G3/AVERAGE('Balance Sheet'!F15:G15)),"n/m")</f>
        <v>99.301748902054214</v>
      </c>
      <c r="H23" s="64">
        <f>IFERROR(365/('P&amp;L'!H3/AVERAGE('Balance Sheet'!G15:H15)),"n/m")</f>
        <v>107.39611413239157</v>
      </c>
      <c r="I23" s="64">
        <f>IFERROR(365/('P&amp;L'!I3/AVERAGE('Balance Sheet'!H15:I15)),"n/m")</f>
        <v>86.027931953497898</v>
      </c>
      <c r="J23" s="64">
        <f>IFERROR(365/('P&amp;L'!J3/AVERAGE('Balance Sheet'!I15:J15)),"n/m")</f>
        <v>72.932276807823513</v>
      </c>
      <c r="K23" s="64">
        <f>IFERROR(365/('P&amp;L'!K3/AVERAGE('Balance Sheet'!J15:K15)),"n/m")</f>
        <v>80.522222524883958</v>
      </c>
    </row>
    <row r="24" spans="1:11" x14ac:dyDescent="0.25">
      <c r="A24" s="1" t="s">
        <v>69</v>
      </c>
      <c r="B24" s="17"/>
      <c r="C24" s="18">
        <f>IFERROR(('P&amp;L'!C3/AVERAGE('Balance Sheet'!B16:C16)),"n/m")</f>
        <v>5.9258580755071435</v>
      </c>
      <c r="D24" s="18">
        <f>IFERROR(('P&amp;L'!D3/AVERAGE('Balance Sheet'!C16:D16)),"n/m")</f>
        <v>5.4805421652583224</v>
      </c>
      <c r="E24" s="18">
        <f>IFERROR(('P&amp;L'!E3/AVERAGE('Balance Sheet'!D16:E16)),"n/m")</f>
        <v>5.2756188231027279</v>
      </c>
      <c r="F24" s="18">
        <f>IFERROR(('P&amp;L'!F3/AVERAGE('Balance Sheet'!E16:F16)),"n/m")</f>
        <v>6.3833051452022724</v>
      </c>
      <c r="G24" s="18">
        <f>IFERROR(('P&amp;L'!G3/AVERAGE('Balance Sheet'!F16:G16)),"n/m")</f>
        <v>5.6804510559191517</v>
      </c>
      <c r="H24" s="18">
        <f>IFERROR(('P&amp;L'!H3/AVERAGE('Balance Sheet'!G16:H16)),"n/m")</f>
        <v>4.4144512704983168</v>
      </c>
      <c r="I24" s="18">
        <f>IFERROR(('P&amp;L'!I3/AVERAGE('Balance Sheet'!H16:I16)),"n/m")</f>
        <v>5.0341333996152766</v>
      </c>
      <c r="J24" s="18">
        <f>IFERROR(('P&amp;L'!J3/AVERAGE('Balance Sheet'!I16:J16)),"n/m")</f>
        <v>6.0820611375201779</v>
      </c>
      <c r="K24" s="18">
        <f>IFERROR(('P&amp;L'!K3/AVERAGE('Balance Sheet'!J16:K16)),"n/m")</f>
        <v>5.9384864248818952</v>
      </c>
    </row>
    <row r="25" spans="1:11" x14ac:dyDescent="0.25">
      <c r="A25" s="1" t="s">
        <v>70</v>
      </c>
      <c r="B25" s="18">
        <f>+IFERROR(B5/B20,"n/m")</f>
        <v>0.67710774037078147</v>
      </c>
      <c r="C25" s="18">
        <f t="shared" ref="C25:K25" si="5">+IFERROR(C5/C20,"n/m")</f>
        <v>0.45018385366653391</v>
      </c>
      <c r="D25" s="18">
        <f t="shared" si="5"/>
        <v>0.29400069490020458</v>
      </c>
      <c r="E25" s="18">
        <f t="shared" si="5"/>
        <v>0.32711933228062257</v>
      </c>
      <c r="F25" s="18">
        <f t="shared" si="5"/>
        <v>0.21065063166912018</v>
      </c>
      <c r="G25" s="18">
        <f t="shared" si="5"/>
        <v>0.31852747271589382</v>
      </c>
      <c r="H25" s="18">
        <f t="shared" si="5"/>
        <v>0.23208671544529552</v>
      </c>
      <c r="I25" s="18">
        <f t="shared" si="5"/>
        <v>0.20941214880803158</v>
      </c>
      <c r="J25" s="18">
        <f t="shared" si="5"/>
        <v>0.16823094361895735</v>
      </c>
      <c r="K25" s="18">
        <f t="shared" si="5"/>
        <v>0.12269247041099565</v>
      </c>
    </row>
    <row r="26" spans="1:11" x14ac:dyDescent="0.25">
      <c r="A26" s="28" t="s">
        <v>71</v>
      </c>
      <c r="B26" s="18"/>
      <c r="C26" s="31">
        <f>IFERROR('P&amp;L'!C11/AVERAGE('Balance Sheet'!B20:C20),"n/m")</f>
        <v>0.1518926598263611</v>
      </c>
      <c r="D26" s="31">
        <f>IFERROR('P&amp;L'!D11/AVERAGE('Balance Sheet'!C20:D20),"n/m")</f>
        <v>0.18650201580902201</v>
      </c>
      <c r="E26" s="31">
        <f>IFERROR('P&amp;L'!E11/AVERAGE('Balance Sheet'!D20:E20),"n/m")</f>
        <v>0.13499535994254658</v>
      </c>
      <c r="F26" s="31">
        <f>IFERROR('P&amp;L'!F11/AVERAGE('Balance Sheet'!E20:F20),"n/m")</f>
        <v>0.11776925673628741</v>
      </c>
      <c r="G26" s="31">
        <f>IFERROR('P&amp;L'!G11/AVERAGE('Balance Sheet'!F20:G20),"n/m")</f>
        <v>0.11410840932117453</v>
      </c>
      <c r="H26" s="31">
        <f>IFERROR('P&amp;L'!H11/AVERAGE('Balance Sheet'!G20:H20),"n/m")</f>
        <v>0.12509986554687377</v>
      </c>
      <c r="I26" s="31">
        <f>IFERROR('P&amp;L'!I11/AVERAGE('Balance Sheet'!H20:I20),"n/m")</f>
        <v>0.16484790111565936</v>
      </c>
      <c r="J26" s="31">
        <f>IFERROR('P&amp;L'!J11/AVERAGE('Balance Sheet'!I20:J20),"n/m")</f>
        <v>0.32276382850577734</v>
      </c>
      <c r="K26" s="31">
        <f>IFERROR('P&amp;L'!K11/AVERAGE('Balance Sheet'!J20:K20),"n/m")</f>
        <v>0.26996006759553248</v>
      </c>
    </row>
    <row r="27" spans="1:11" x14ac:dyDescent="0.25">
      <c r="A27" s="73" t="s">
        <v>72</v>
      </c>
      <c r="B27" s="74"/>
      <c r="C27" s="75">
        <f>IFERROR(('P&amp;L'!C9-'P&amp;L'!C7)/AVERAGE('Balance Sheet'!B19:C19),"n/m")</f>
        <v>0.28645922171592847</v>
      </c>
      <c r="D27" s="75">
        <f>IFERROR(('P&amp;L'!D9-'P&amp;L'!D7)/AVERAGE('Balance Sheet'!C19:D19),"n/m")</f>
        <v>0.31322432932290595</v>
      </c>
      <c r="E27" s="75">
        <f>IFERROR(('P&amp;L'!E9-'P&amp;L'!E7)/AVERAGE('Balance Sheet'!D19:E19),"n/m")</f>
        <v>0.27091395401775498</v>
      </c>
      <c r="F27" s="75">
        <f>IFERROR(('P&amp;L'!F9-'P&amp;L'!F7)/AVERAGE('Balance Sheet'!E19:F19),"n/m")</f>
        <v>0.30025662667482239</v>
      </c>
      <c r="G27" s="75">
        <f>IFERROR(('P&amp;L'!G9-'P&amp;L'!G7)/AVERAGE('Balance Sheet'!F19:G19),"n/m")</f>
        <v>0.28296844622897971</v>
      </c>
      <c r="H27" s="75">
        <f>IFERROR(('P&amp;L'!H9-'P&amp;L'!H7)/AVERAGE('Balance Sheet'!G19:H19),"n/m")</f>
        <v>0.2237868988137206</v>
      </c>
      <c r="I27" s="75">
        <f>IFERROR(('P&amp;L'!I9-'P&amp;L'!I7)/AVERAGE('Balance Sheet'!H19:I19),"n/m")</f>
        <v>0.26995195788088189</v>
      </c>
      <c r="J27" s="75">
        <f>IFERROR(('P&amp;L'!J9-'P&amp;L'!J7)/AVERAGE('Balance Sheet'!I19:J19),"n/m")</f>
        <v>0.51148272683826046</v>
      </c>
      <c r="K27" s="75">
        <f>IFERROR(('P&amp;L'!K9-'P&amp;L'!K7)/AVERAGE('Balance Sheet'!J19:K19),"n/m")</f>
        <v>0.44163470774638264</v>
      </c>
    </row>
    <row r="29" spans="1:11" ht="15.75" thickBot="1" x14ac:dyDescent="0.3"/>
    <row r="30" spans="1:11" ht="16.5" thickBot="1" x14ac:dyDescent="0.3">
      <c r="A30" s="143" t="s">
        <v>75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5"/>
    </row>
    <row r="31" spans="1:11" ht="15.75" x14ac:dyDescent="0.25">
      <c r="A31" s="54" t="s">
        <v>76</v>
      </c>
      <c r="B31" s="55">
        <f>+B2</f>
        <v>42094</v>
      </c>
      <c r="C31" s="55">
        <f t="shared" ref="C31:K31" si="6">+C2</f>
        <v>42460</v>
      </c>
      <c r="D31" s="55">
        <f t="shared" si="6"/>
        <v>42825</v>
      </c>
      <c r="E31" s="55">
        <f t="shared" si="6"/>
        <v>43190</v>
      </c>
      <c r="F31" s="55">
        <f t="shared" si="6"/>
        <v>43555</v>
      </c>
      <c r="G31" s="55">
        <f t="shared" si="6"/>
        <v>43921</v>
      </c>
      <c r="H31" s="55">
        <f t="shared" si="6"/>
        <v>44286</v>
      </c>
      <c r="I31" s="55">
        <f t="shared" si="6"/>
        <v>44651</v>
      </c>
      <c r="J31" s="55">
        <f t="shared" si="6"/>
        <v>45016</v>
      </c>
      <c r="K31" s="55">
        <f t="shared" si="6"/>
        <v>45382</v>
      </c>
    </row>
    <row r="32" spans="1:11" x14ac:dyDescent="0.25">
      <c r="A32" s="15" t="s">
        <v>30</v>
      </c>
      <c r="B32" s="36">
        <f>B3/B$7</f>
        <v>1.3024709735040191E-2</v>
      </c>
      <c r="C32" s="36">
        <f t="shared" ref="C32:K32" si="7">C3/C$7</f>
        <v>1.3191436872978453E-2</v>
      </c>
      <c r="D32" s="36">
        <f t="shared" si="7"/>
        <v>1.1098479795372686E-2</v>
      </c>
      <c r="E32" s="36">
        <f t="shared" si="7"/>
        <v>8.9502671983348343E-3</v>
      </c>
      <c r="F32" s="36">
        <f t="shared" si="7"/>
        <v>7.7204421249271234E-3</v>
      </c>
      <c r="G32" s="36">
        <f t="shared" si="7"/>
        <v>8.2233873393785725E-3</v>
      </c>
      <c r="H32" s="36">
        <f t="shared" si="7"/>
        <v>7.6555617345938588E-3</v>
      </c>
      <c r="I32" s="36">
        <f t="shared" si="7"/>
        <v>5.7918856091241496E-3</v>
      </c>
      <c r="J32" s="36">
        <f t="shared" si="7"/>
        <v>4.6570491563889928E-3</v>
      </c>
      <c r="K32" s="36">
        <f t="shared" si="7"/>
        <v>4.1775169097398443E-3</v>
      </c>
    </row>
    <row r="33" spans="1:11" x14ac:dyDescent="0.25">
      <c r="A33" s="17" t="s">
        <v>31</v>
      </c>
      <c r="B33" s="37">
        <f t="shared" ref="B33:K33" si="8">B4/B$7</f>
        <v>0.23387304121897748</v>
      </c>
      <c r="C33" s="37">
        <f t="shared" si="8"/>
        <v>0.27939805931692341</v>
      </c>
      <c r="D33" s="37">
        <f t="shared" si="8"/>
        <v>0.2893811879752452</v>
      </c>
      <c r="E33" s="37">
        <f t="shared" si="8"/>
        <v>0.25023796438135104</v>
      </c>
      <c r="F33" s="37">
        <f t="shared" si="8"/>
        <v>0.23484104200751665</v>
      </c>
      <c r="G33" s="37">
        <f t="shared" si="8"/>
        <v>0.24241694958958271</v>
      </c>
      <c r="H33" s="37">
        <f t="shared" si="8"/>
        <v>0.27230555033226783</v>
      </c>
      <c r="I33" s="37">
        <f t="shared" si="8"/>
        <v>0.25379567523064628</v>
      </c>
      <c r="J33" s="37">
        <f t="shared" si="8"/>
        <v>0.26748766374815186</v>
      </c>
      <c r="K33" s="37">
        <f t="shared" si="8"/>
        <v>0.398956504738055</v>
      </c>
    </row>
    <row r="34" spans="1:11" x14ac:dyDescent="0.25">
      <c r="A34" s="17" t="s">
        <v>32</v>
      </c>
      <c r="B34" s="42">
        <f t="shared" ref="B34:K34" si="9">B5/B$7</f>
        <v>0.16717637825110288</v>
      </c>
      <c r="C34" s="43">
        <f t="shared" si="9"/>
        <v>0.13171906693711966</v>
      </c>
      <c r="D34" s="41">
        <f t="shared" si="9"/>
        <v>8.8341231127944272E-2</v>
      </c>
      <c r="E34" s="41">
        <f t="shared" si="9"/>
        <v>8.4785481249342223E-2</v>
      </c>
      <c r="F34" s="41">
        <f t="shared" si="9"/>
        <v>5.1095729851098552E-2</v>
      </c>
      <c r="G34" s="41">
        <f t="shared" si="9"/>
        <v>7.9835833082642138E-2</v>
      </c>
      <c r="H34" s="41">
        <f t="shared" si="9"/>
        <v>6.4975254952010217E-2</v>
      </c>
      <c r="I34" s="41">
        <f t="shared" si="9"/>
        <v>5.4360788919291955E-2</v>
      </c>
      <c r="J34" s="41">
        <f t="shared" si="9"/>
        <v>4.5783161852841148E-2</v>
      </c>
      <c r="K34" s="41">
        <f t="shared" si="9"/>
        <v>4.9461509022687755E-2</v>
      </c>
    </row>
    <row r="35" spans="1:11" x14ac:dyDescent="0.25">
      <c r="A35" s="17" t="s">
        <v>33</v>
      </c>
      <c r="B35" s="37">
        <f t="shared" ref="B35:K35" si="10">B6/B$7</f>
        <v>0.58592587079487946</v>
      </c>
      <c r="C35" s="37">
        <f t="shared" si="10"/>
        <v>0.57569143687297841</v>
      </c>
      <c r="D35" s="37">
        <f t="shared" si="10"/>
        <v>0.6111791011014378</v>
      </c>
      <c r="E35" s="37">
        <f t="shared" si="10"/>
        <v>0.65602628717097189</v>
      </c>
      <c r="F35" s="37">
        <f t="shared" si="10"/>
        <v>0.70634278601645761</v>
      </c>
      <c r="G35" s="37">
        <f t="shared" si="10"/>
        <v>0.66952382998839655</v>
      </c>
      <c r="H35" s="37">
        <f t="shared" si="10"/>
        <v>0.65506363298112824</v>
      </c>
      <c r="I35" s="37">
        <f t="shared" si="10"/>
        <v>0.68605165024093762</v>
      </c>
      <c r="J35" s="37">
        <f t="shared" si="10"/>
        <v>0.68207212524261807</v>
      </c>
      <c r="K35" s="37">
        <f t="shared" si="10"/>
        <v>0.54740446932951736</v>
      </c>
    </row>
    <row r="36" spans="1:11" x14ac:dyDescent="0.25">
      <c r="A36" s="19" t="s">
        <v>65</v>
      </c>
      <c r="B36" s="38">
        <f t="shared" ref="B36:K36" si="11">B7/B$7</f>
        <v>1</v>
      </c>
      <c r="C36" s="38">
        <f t="shared" si="11"/>
        <v>1</v>
      </c>
      <c r="D36" s="38">
        <f t="shared" si="11"/>
        <v>1</v>
      </c>
      <c r="E36" s="38">
        <f t="shared" si="11"/>
        <v>1</v>
      </c>
      <c r="F36" s="38">
        <f t="shared" si="11"/>
        <v>1</v>
      </c>
      <c r="G36" s="38">
        <f t="shared" si="11"/>
        <v>1</v>
      </c>
      <c r="H36" s="38">
        <f t="shared" si="11"/>
        <v>1</v>
      </c>
      <c r="I36" s="38">
        <f t="shared" si="11"/>
        <v>1</v>
      </c>
      <c r="J36" s="38">
        <f t="shared" si="11"/>
        <v>1</v>
      </c>
      <c r="K36" s="38">
        <f t="shared" si="11"/>
        <v>1</v>
      </c>
    </row>
    <row r="37" spans="1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25">
      <c r="A38" s="15" t="s">
        <v>63</v>
      </c>
      <c r="B38" s="36">
        <f>B9/B$13</f>
        <v>0.13348128501447942</v>
      </c>
      <c r="C38" s="39">
        <f t="shared" ref="C38:K38" si="12">C9/C$13</f>
        <v>0.13631722493284359</v>
      </c>
      <c r="D38" s="39">
        <f t="shared" si="12"/>
        <v>0.16642499608493658</v>
      </c>
      <c r="E38" s="39">
        <f t="shared" si="12"/>
        <v>0.15167042810201478</v>
      </c>
      <c r="F38" s="39">
        <f t="shared" si="12"/>
        <v>0.14299864635049234</v>
      </c>
      <c r="G38" s="39">
        <f t="shared" si="12"/>
        <v>0.19009411663586745</v>
      </c>
      <c r="H38" s="39">
        <f t="shared" si="12"/>
        <v>0.17561782603651147</v>
      </c>
      <c r="I38" s="39">
        <f t="shared" si="12"/>
        <v>0.1333692520037775</v>
      </c>
      <c r="J38" s="39">
        <f t="shared" si="12"/>
        <v>0.11566323705682283</v>
      </c>
      <c r="K38" s="39">
        <f t="shared" si="12"/>
        <v>0.1240494771084137</v>
      </c>
    </row>
    <row r="39" spans="1:11" x14ac:dyDescent="0.25">
      <c r="A39" s="17" t="s">
        <v>64</v>
      </c>
      <c r="B39" s="40">
        <f t="shared" ref="B39:K39" si="13">B10/B$13</f>
        <v>3.4642344853717285E-3</v>
      </c>
      <c r="C39" s="40">
        <f t="shared" si="13"/>
        <v>1.9225234362151195E-2</v>
      </c>
      <c r="D39" s="40">
        <f t="shared" si="13"/>
        <v>8.047630371612019E-3</v>
      </c>
      <c r="E39" s="40">
        <f t="shared" si="13"/>
        <v>4.5604967433375814E-3</v>
      </c>
      <c r="F39" s="40">
        <f t="shared" si="13"/>
        <v>2.087565589462918E-2</v>
      </c>
      <c r="G39" s="40">
        <f t="shared" si="13"/>
        <v>1.1755984356869654E-2</v>
      </c>
      <c r="H39" s="40">
        <f t="shared" si="13"/>
        <v>5.7431716070078303E-3</v>
      </c>
      <c r="I39" s="40">
        <f t="shared" si="13"/>
        <v>5.8251810058842042E-3</v>
      </c>
      <c r="J39" s="40">
        <f t="shared" si="13"/>
        <v>1.2084963462790458E-2</v>
      </c>
      <c r="K39" s="40">
        <f t="shared" si="13"/>
        <v>1.2734302852816629E-2</v>
      </c>
    </row>
    <row r="40" spans="1:11" x14ac:dyDescent="0.25">
      <c r="A40" s="17" t="s">
        <v>37</v>
      </c>
      <c r="B40" s="40">
        <f t="shared" ref="B40:K40" si="14">B11/B$13</f>
        <v>1.7794798235405559E-3</v>
      </c>
      <c r="C40" s="40">
        <f t="shared" si="14"/>
        <v>3.852927471081629E-2</v>
      </c>
      <c r="D40" s="40">
        <f t="shared" si="14"/>
        <v>3.4385857050884219E-2</v>
      </c>
      <c r="E40" s="40">
        <f t="shared" si="14"/>
        <v>0</v>
      </c>
      <c r="F40" s="40">
        <f t="shared" si="14"/>
        <v>3.7708519518980341E-2</v>
      </c>
      <c r="G40" s="40">
        <f t="shared" si="14"/>
        <v>0</v>
      </c>
      <c r="H40" s="40">
        <f t="shared" si="14"/>
        <v>1.2082464822823857E-2</v>
      </c>
      <c r="I40" s="40">
        <f t="shared" si="14"/>
        <v>4.6189795868949316E-3</v>
      </c>
      <c r="J40" s="40">
        <f t="shared" si="14"/>
        <v>6.6052947010398358E-3</v>
      </c>
      <c r="K40" s="40">
        <f t="shared" si="14"/>
        <v>1.1189963143838867E-3</v>
      </c>
    </row>
    <row r="41" spans="1:11" x14ac:dyDescent="0.25">
      <c r="A41" s="17" t="s">
        <v>38</v>
      </c>
      <c r="B41" s="40">
        <f t="shared" ref="B41:K41" si="15">B12/B$13</f>
        <v>0.86127500067660834</v>
      </c>
      <c r="C41" s="40">
        <f t="shared" si="15"/>
        <v>0.80592826599418887</v>
      </c>
      <c r="D41" s="40">
        <f t="shared" si="15"/>
        <v>0.79114151649256714</v>
      </c>
      <c r="E41" s="40">
        <f t="shared" si="15"/>
        <v>0.8437690751546475</v>
      </c>
      <c r="F41" s="40">
        <f t="shared" si="15"/>
        <v>0.79841717823589808</v>
      </c>
      <c r="G41" s="40">
        <f t="shared" si="15"/>
        <v>0.79814989900726285</v>
      </c>
      <c r="H41" s="40">
        <f t="shared" si="15"/>
        <v>0.80655653753365697</v>
      </c>
      <c r="I41" s="40">
        <f t="shared" si="15"/>
        <v>0.85618658740344333</v>
      </c>
      <c r="J41" s="40">
        <f t="shared" si="15"/>
        <v>0.8656465047793469</v>
      </c>
      <c r="K41" s="40">
        <f t="shared" si="15"/>
        <v>0.86209722372438591</v>
      </c>
    </row>
    <row r="42" spans="1:11" x14ac:dyDescent="0.25">
      <c r="A42" s="19" t="s">
        <v>66</v>
      </c>
      <c r="B42" s="38">
        <f t="shared" ref="B42:K42" si="16">B13/B$13</f>
        <v>1</v>
      </c>
      <c r="C42" s="38">
        <f t="shared" si="16"/>
        <v>1</v>
      </c>
      <c r="D42" s="38">
        <f t="shared" si="16"/>
        <v>1</v>
      </c>
      <c r="E42" s="38">
        <f t="shared" si="16"/>
        <v>1</v>
      </c>
      <c r="F42" s="38">
        <f t="shared" si="16"/>
        <v>1</v>
      </c>
      <c r="G42" s="38">
        <f t="shared" si="16"/>
        <v>1</v>
      </c>
      <c r="H42" s="38">
        <f t="shared" si="16"/>
        <v>1</v>
      </c>
      <c r="I42" s="38">
        <f t="shared" si="16"/>
        <v>1</v>
      </c>
      <c r="J42" s="38">
        <f t="shared" si="16"/>
        <v>1</v>
      </c>
      <c r="K42" s="38">
        <f t="shared" si="16"/>
        <v>1</v>
      </c>
    </row>
    <row r="44" spans="1:11" x14ac:dyDescent="0.25">
      <c r="A44" s="10" t="s">
        <v>77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spans="1:11" x14ac:dyDescent="0.25">
      <c r="A45" s="15" t="s">
        <v>39</v>
      </c>
      <c r="B45" s="37">
        <f>B15/B$13</f>
        <v>0.428631356734959</v>
      </c>
      <c r="C45" s="43">
        <f t="shared" ref="C45:K45" si="17">C15/C$13</f>
        <v>0.37360547667342797</v>
      </c>
      <c r="D45" s="41">
        <f t="shared" si="17"/>
        <v>0.3637586928908248</v>
      </c>
      <c r="E45" s="41">
        <f t="shared" si="17"/>
        <v>0.40564566109662403</v>
      </c>
      <c r="F45" s="41">
        <f t="shared" si="17"/>
        <v>0.4320401374226594</v>
      </c>
      <c r="G45" s="41">
        <f t="shared" si="17"/>
        <v>0.40796768232412217</v>
      </c>
      <c r="H45" s="41">
        <f t="shared" si="17"/>
        <v>0.37218992674505602</v>
      </c>
      <c r="I45" s="41">
        <f t="shared" si="17"/>
        <v>0.38306808000581155</v>
      </c>
      <c r="J45" s="41">
        <f t="shared" si="17"/>
        <v>0.38917087001758416</v>
      </c>
      <c r="K45" s="41">
        <f t="shared" si="17"/>
        <v>0.40859068861951636</v>
      </c>
    </row>
    <row r="46" spans="1:11" x14ac:dyDescent="0.25">
      <c r="A46" s="17" t="s">
        <v>40</v>
      </c>
      <c r="B46" s="37">
        <f t="shared" ref="B46:K46" si="18">B16/B$13</f>
        <v>0.31944369265744677</v>
      </c>
      <c r="C46" s="37">
        <f t="shared" si="18"/>
        <v>0.26374650512581543</v>
      </c>
      <c r="D46" s="37">
        <f t="shared" si="18"/>
        <v>0.28813126772653713</v>
      </c>
      <c r="E46" s="37">
        <f t="shared" si="18"/>
        <v>0.28351321959376496</v>
      </c>
      <c r="F46" s="37">
        <f t="shared" si="18"/>
        <v>0.25880326086298688</v>
      </c>
      <c r="G46" s="37">
        <f t="shared" si="18"/>
        <v>0.28609523400232068</v>
      </c>
      <c r="H46" s="37">
        <f t="shared" si="18"/>
        <v>0.31260577157740183</v>
      </c>
      <c r="I46" s="37">
        <f t="shared" si="18"/>
        <v>0.32366909218587303</v>
      </c>
      <c r="J46" s="37">
        <f t="shared" si="18"/>
        <v>0.31342780478603982</v>
      </c>
      <c r="K46" s="37">
        <f t="shared" si="18"/>
        <v>0.29789221028811042</v>
      </c>
    </row>
    <row r="47" spans="1:11" x14ac:dyDescent="0.25">
      <c r="A47" s="20" t="s">
        <v>41</v>
      </c>
      <c r="B47" s="44">
        <f t="shared" ref="B47:K47" si="19">B17/B$13</f>
        <v>3.3989417846220463E-2</v>
      </c>
      <c r="C47" s="44">
        <f t="shared" si="19"/>
        <v>4.5865084151088205E-2</v>
      </c>
      <c r="D47" s="44">
        <f t="shared" si="19"/>
        <v>3.5661877722419098E-2</v>
      </c>
      <c r="E47" s="44">
        <f t="shared" si="19"/>
        <v>6.4167358536899088E-2</v>
      </c>
      <c r="F47" s="44">
        <f t="shared" si="19"/>
        <v>4.5449135258030605E-2</v>
      </c>
      <c r="G47" s="44">
        <f t="shared" si="19"/>
        <v>3.7867978855988652E-2</v>
      </c>
      <c r="H47" s="44">
        <f t="shared" si="19"/>
        <v>4.4499077811873622E-2</v>
      </c>
      <c r="I47" s="44">
        <f t="shared" si="19"/>
        <v>4.0319212049301403E-2</v>
      </c>
      <c r="J47" s="44">
        <f t="shared" si="19"/>
        <v>6.4507493018076956E-2</v>
      </c>
      <c r="K47" s="44">
        <f t="shared" si="19"/>
        <v>6.7184497117232553E-2</v>
      </c>
    </row>
  </sheetData>
  <mergeCells count="2">
    <mergeCell ref="B1:K1"/>
    <mergeCell ref="A30:K30"/>
  </mergeCells>
  <conditionalFormatting sqref="C4:K4">
    <cfRule type="cellIs" dxfId="22" priority="5" operator="greaterThan">
      <formula>B4</formula>
    </cfRule>
    <cfRule type="cellIs" dxfId="21" priority="6" operator="lessThan">
      <formula>B4</formula>
    </cfRule>
  </conditionalFormatting>
  <conditionalFormatting sqref="C9:K9">
    <cfRule type="cellIs" dxfId="20" priority="7" operator="greaterThan">
      <formula>B9</formula>
    </cfRule>
    <cfRule type="cellIs" dxfId="19" priority="8" operator="lessThan">
      <formula>B9</formula>
    </cfRule>
  </conditionalFormatting>
  <conditionalFormatting sqref="C15:K15">
    <cfRule type="cellIs" dxfId="18" priority="1" operator="greaterThan">
      <formula>B15</formula>
    </cfRule>
    <cfRule type="cellIs" dxfId="17" priority="2" operator="lessThan">
      <formula>B15</formula>
    </cfRule>
  </conditionalFormatting>
  <conditionalFormatting sqref="C25:K25">
    <cfRule type="cellIs" dxfId="16" priority="19" operator="greaterThan">
      <formula>B25</formula>
    </cfRule>
    <cfRule type="cellIs" dxfId="15" priority="20" operator="lessThan">
      <formula>B25</formula>
    </cfRule>
  </conditionalFormatting>
  <conditionalFormatting sqref="C34:K34">
    <cfRule type="cellIs" dxfId="14" priority="11" operator="greaterThan">
      <formula>B34</formula>
    </cfRule>
    <cfRule type="cellIs" dxfId="13" priority="12" operator="lessThan">
      <formula>B34</formula>
    </cfRule>
  </conditionalFormatting>
  <conditionalFormatting sqref="C45:K45">
    <cfRule type="cellIs" dxfId="12" priority="9" operator="greaterThan">
      <formula>B45</formula>
    </cfRule>
    <cfRule type="cellIs" dxfId="11" priority="10" operator="lessThan">
      <formula>B45</formula>
    </cfRule>
  </conditionalFormatting>
  <conditionalFormatting sqref="D5:K5">
    <cfRule type="cellIs" dxfId="10" priority="3" operator="greaterThan">
      <formula>C5</formula>
    </cfRule>
    <cfRule type="cellIs" dxfId="9" priority="4" operator="lessThan">
      <formula>C5</formula>
    </cfRule>
  </conditionalFormatting>
  <conditionalFormatting sqref="D22:K22">
    <cfRule type="cellIs" dxfId="8" priority="25" operator="lessThan">
      <formula>C22</formula>
    </cfRule>
    <cfRule type="cellIs" dxfId="7" priority="26" operator="greaterThan">
      <formula>C22</formula>
    </cfRule>
  </conditionalFormatting>
  <conditionalFormatting sqref="D23:K23">
    <cfRule type="cellIs" dxfId="6" priority="23" operator="greaterThan">
      <formula>C23</formula>
    </cfRule>
    <cfRule type="cellIs" dxfId="5" priority="24" operator="lessThan">
      <formula>C23</formula>
    </cfRule>
  </conditionalFormatting>
  <conditionalFormatting sqref="D24:K24">
    <cfRule type="cellIs" dxfId="4" priority="21" operator="lessThan">
      <formula>C24</formula>
    </cfRule>
    <cfRule type="cellIs" dxfId="3" priority="22" operator="greaterThan">
      <formula>C24</formula>
    </cfRule>
  </conditionalFormatting>
  <conditionalFormatting sqref="D26:K27">
    <cfRule type="cellIs" dxfId="2" priority="15" operator="greaterThan">
      <formula>C26</formula>
    </cfRule>
    <cfRule type="cellIs" dxfId="1" priority="16" operator="lessThan">
      <formula>C26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Q93"/>
  <sheetViews>
    <sheetView workbookViewId="0">
      <pane xSplit="1" ySplit="1" topLeftCell="B2" activePane="bottomRight" state="frozen"/>
      <selection activeCell="C4" sqref="C4"/>
      <selection pane="topRight" activeCell="C4" sqref="C4"/>
      <selection pane="bottomLeft" activeCell="C4" sqref="C4"/>
      <selection pane="bottomRight" activeCell="E2" sqref="E2:K2"/>
    </sheetView>
  </sheetViews>
  <sheetFormatPr defaultColWidth="9.140625" defaultRowHeight="15" x14ac:dyDescent="0.25"/>
  <cols>
    <col min="1" max="1" width="25.140625" style="4" bestFit="1" customWidth="1"/>
    <col min="2" max="2" width="13.7109375" style="4" bestFit="1" customWidth="1"/>
    <col min="3" max="11" width="13" style="4" customWidth="1"/>
    <col min="12" max="16384" width="9.140625" style="4"/>
  </cols>
  <sheetData>
    <row r="1" spans="1:11" s="2" customFormat="1" x14ac:dyDescent="0.25">
      <c r="A1" s="2" t="s">
        <v>0</v>
      </c>
      <c r="B1" s="2" t="s">
        <v>53</v>
      </c>
      <c r="E1" s="148" t="str">
        <f>IF(B2&lt;&gt;B3, "A NEW VERSION OF THE WORKSHEET IS AVAILABLE", "")</f>
        <v/>
      </c>
      <c r="F1" s="148"/>
      <c r="G1" s="148"/>
      <c r="H1" s="148"/>
      <c r="I1" s="148"/>
      <c r="J1" s="148"/>
      <c r="K1" s="148"/>
    </row>
    <row r="2" spans="1:11" x14ac:dyDescent="0.25">
      <c r="A2" s="2" t="s">
        <v>1</v>
      </c>
      <c r="B2" s="4">
        <v>2.1</v>
      </c>
      <c r="E2" s="149" t="s">
        <v>2</v>
      </c>
      <c r="F2" s="149"/>
      <c r="G2" s="149"/>
      <c r="H2" s="149"/>
      <c r="I2" s="149"/>
      <c r="J2" s="149"/>
      <c r="K2" s="149"/>
    </row>
    <row r="3" spans="1:11" x14ac:dyDescent="0.25">
      <c r="A3" s="2" t="s">
        <v>3</v>
      </c>
      <c r="B3" s="4">
        <v>2.1</v>
      </c>
    </row>
    <row r="4" spans="1:11" x14ac:dyDescent="0.25">
      <c r="A4" s="2"/>
    </row>
    <row r="5" spans="1:11" x14ac:dyDescent="0.25">
      <c r="A5" s="2" t="s">
        <v>4</v>
      </c>
    </row>
    <row r="6" spans="1:11" x14ac:dyDescent="0.25">
      <c r="A6" s="4" t="s">
        <v>5</v>
      </c>
      <c r="B6" s="4">
        <f>IF(B9&gt;0, B9/B8, 0)</f>
        <v>4.0168319107025612</v>
      </c>
    </row>
    <row r="7" spans="1:11" x14ac:dyDescent="0.25">
      <c r="A7" s="4" t="s">
        <v>6</v>
      </c>
      <c r="B7" s="6">
        <v>10</v>
      </c>
    </row>
    <row r="8" spans="1:11" x14ac:dyDescent="0.25">
      <c r="A8" s="4" t="s">
        <v>7</v>
      </c>
      <c r="B8" s="6">
        <v>6092</v>
      </c>
    </row>
    <row r="9" spans="1:11" x14ac:dyDescent="0.25">
      <c r="A9" s="4" t="s">
        <v>8</v>
      </c>
      <c r="B9" s="6">
        <v>24470.54</v>
      </c>
    </row>
    <row r="15" spans="1:11" x14ac:dyDescent="0.25">
      <c r="A15" s="2" t="s">
        <v>9</v>
      </c>
    </row>
    <row r="16" spans="1:11" s="3" customFormat="1" x14ac:dyDescent="0.25">
      <c r="A16" s="5" t="s">
        <v>10</v>
      </c>
      <c r="B16" s="33">
        <v>42094</v>
      </c>
      <c r="C16" s="33">
        <v>42460</v>
      </c>
      <c r="D16" s="33">
        <v>42825</v>
      </c>
      <c r="E16" s="33">
        <v>43190</v>
      </c>
      <c r="F16" s="33">
        <v>43555</v>
      </c>
      <c r="G16" s="33">
        <v>43921</v>
      </c>
      <c r="H16" s="33">
        <v>44286</v>
      </c>
      <c r="I16" s="33">
        <v>44651</v>
      </c>
      <c r="J16" s="33">
        <v>45016</v>
      </c>
      <c r="K16" s="33">
        <v>45382</v>
      </c>
    </row>
    <row r="17" spans="1:11" x14ac:dyDescent="0.25">
      <c r="A17" s="4" t="s">
        <v>11</v>
      </c>
      <c r="B17" s="6">
        <v>5107.67</v>
      </c>
      <c r="C17" s="6">
        <v>5078.49</v>
      </c>
      <c r="D17" s="6">
        <v>4831.92</v>
      </c>
      <c r="E17" s="6">
        <v>5818.48</v>
      </c>
      <c r="F17" s="6">
        <v>7963.62</v>
      </c>
      <c r="G17" s="6">
        <v>7425.23</v>
      </c>
      <c r="H17" s="6">
        <v>6388.02</v>
      </c>
      <c r="I17" s="6">
        <v>9316.57</v>
      </c>
      <c r="J17" s="6">
        <v>14336.3</v>
      </c>
      <c r="K17" s="6">
        <v>16152.98</v>
      </c>
    </row>
    <row r="18" spans="1:11" x14ac:dyDescent="0.25">
      <c r="A18" s="4" t="s">
        <v>12</v>
      </c>
      <c r="B18" s="6">
        <v>4174.87</v>
      </c>
      <c r="C18" s="6">
        <v>3850.94</v>
      </c>
      <c r="D18" s="6">
        <v>3638.39</v>
      </c>
      <c r="E18" s="6">
        <v>4492.55</v>
      </c>
      <c r="F18" s="6">
        <v>6462.48</v>
      </c>
      <c r="G18" s="6">
        <v>5872.14</v>
      </c>
      <c r="H18" s="6">
        <v>4754.75</v>
      </c>
      <c r="I18" s="6">
        <v>7549.03</v>
      </c>
      <c r="J18" s="6">
        <v>11410.88</v>
      </c>
      <c r="K18" s="6">
        <v>12681.1</v>
      </c>
    </row>
    <row r="19" spans="1:11" x14ac:dyDescent="0.25">
      <c r="A19" s="4" t="s">
        <v>13</v>
      </c>
      <c r="B19" s="6">
        <v>89.79</v>
      </c>
      <c r="C19" s="6">
        <v>-53.71</v>
      </c>
      <c r="D19" s="6">
        <v>65.55</v>
      </c>
      <c r="E19" s="6">
        <v>-2.4900000000000002</v>
      </c>
      <c r="F19" s="6">
        <v>126.32</v>
      </c>
      <c r="G19" s="6">
        <v>164.82</v>
      </c>
      <c r="H19" s="6">
        <v>-45.35</v>
      </c>
      <c r="I19" s="6">
        <v>341.21</v>
      </c>
      <c r="J19" s="6">
        <v>334.66</v>
      </c>
      <c r="K19" s="6">
        <v>141.13</v>
      </c>
    </row>
    <row r="20" spans="1:11" x14ac:dyDescent="0.25">
      <c r="A20" s="4" t="s">
        <v>14</v>
      </c>
      <c r="B20" s="6">
        <v>59.36</v>
      </c>
      <c r="C20" s="6">
        <v>56.42</v>
      </c>
      <c r="D20" s="6">
        <v>61.18</v>
      </c>
      <c r="E20" s="6">
        <v>60.49</v>
      </c>
      <c r="F20" s="6">
        <v>100.81</v>
      </c>
      <c r="G20" s="6">
        <v>91.78</v>
      </c>
      <c r="H20" s="6">
        <v>78.28</v>
      </c>
      <c r="I20" s="6">
        <v>89.98</v>
      </c>
      <c r="J20" s="6">
        <v>127.04</v>
      </c>
      <c r="K20" s="6">
        <v>159.9</v>
      </c>
    </row>
    <row r="21" spans="1:11" x14ac:dyDescent="0.25">
      <c r="A21" s="4" t="s">
        <v>15</v>
      </c>
      <c r="B21" s="6">
        <v>288.68</v>
      </c>
      <c r="C21" s="6">
        <v>311.77</v>
      </c>
      <c r="D21" s="6">
        <v>337.45</v>
      </c>
      <c r="E21" s="6">
        <v>338.86</v>
      </c>
      <c r="F21" s="6">
        <v>452.38</v>
      </c>
      <c r="G21" s="6">
        <v>469.42</v>
      </c>
      <c r="H21" s="6">
        <v>423.22</v>
      </c>
      <c r="I21" s="6">
        <v>503.65</v>
      </c>
      <c r="J21" s="6">
        <v>360.64</v>
      </c>
      <c r="K21" s="6">
        <v>468.84</v>
      </c>
    </row>
    <row r="22" spans="1:11" x14ac:dyDescent="0.25">
      <c r="A22" s="4" t="s">
        <v>16</v>
      </c>
      <c r="B22" s="6">
        <v>81.47</v>
      </c>
      <c r="C22" s="6">
        <v>96.44</v>
      </c>
      <c r="D22" s="6">
        <v>114.75</v>
      </c>
      <c r="E22" s="6">
        <v>130.75</v>
      </c>
      <c r="F22" s="6">
        <v>152.66</v>
      </c>
      <c r="G22" s="6">
        <v>172.53</v>
      </c>
      <c r="H22" s="6">
        <v>164.36</v>
      </c>
      <c r="I22" s="6">
        <v>178.72</v>
      </c>
      <c r="J22" s="6">
        <v>237.42</v>
      </c>
      <c r="K22" s="6">
        <v>312.26</v>
      </c>
    </row>
    <row r="23" spans="1:11" x14ac:dyDescent="0.25">
      <c r="A23" s="4" t="s">
        <v>17</v>
      </c>
      <c r="B23" s="6">
        <v>295.55</v>
      </c>
      <c r="C23" s="6">
        <v>277.49</v>
      </c>
      <c r="D23" s="6">
        <v>266.02999999999997</v>
      </c>
      <c r="E23" s="6">
        <v>313.89</v>
      </c>
      <c r="F23" s="6">
        <v>371.97</v>
      </c>
      <c r="G23" s="6">
        <v>383.53</v>
      </c>
      <c r="H23" s="6">
        <v>414.56</v>
      </c>
      <c r="I23" s="6">
        <v>659.4</v>
      </c>
      <c r="J23" s="6">
        <v>1146.3599999999999</v>
      </c>
      <c r="K23" s="6">
        <v>947.21</v>
      </c>
    </row>
    <row r="24" spans="1:11" x14ac:dyDescent="0.25">
      <c r="A24" s="4" t="s">
        <v>18</v>
      </c>
      <c r="B24" s="6">
        <v>33.19</v>
      </c>
      <c r="C24" s="6">
        <v>51.32</v>
      </c>
      <c r="D24" s="6">
        <v>46.11</v>
      </c>
      <c r="E24" s="6">
        <v>53.82</v>
      </c>
      <c r="F24" s="6">
        <v>58.35</v>
      </c>
      <c r="G24" s="6">
        <v>105.16</v>
      </c>
      <c r="H24" s="6">
        <v>67.64</v>
      </c>
      <c r="I24" s="6">
        <v>99.03</v>
      </c>
      <c r="J24" s="6">
        <v>121.57</v>
      </c>
      <c r="K24" s="6">
        <v>157.06</v>
      </c>
    </row>
    <row r="25" spans="1:11" x14ac:dyDescent="0.25">
      <c r="A25" s="4" t="s">
        <v>19</v>
      </c>
      <c r="B25" s="6">
        <v>1.23</v>
      </c>
      <c r="C25" s="6">
        <v>10.039999999999999</v>
      </c>
      <c r="D25" s="6">
        <v>15.33</v>
      </c>
      <c r="E25" s="6">
        <v>11.08</v>
      </c>
      <c r="F25" s="6">
        <v>14.72</v>
      </c>
      <c r="G25" s="6">
        <v>15.18</v>
      </c>
      <c r="H25" s="6">
        <v>18.61</v>
      </c>
      <c r="I25" s="6">
        <v>32.61</v>
      </c>
      <c r="J25" s="6">
        <v>35.96</v>
      </c>
      <c r="K25" s="6">
        <v>85.89</v>
      </c>
    </row>
    <row r="26" spans="1:11" x14ac:dyDescent="0.25">
      <c r="A26" s="4" t="s">
        <v>20</v>
      </c>
      <c r="B26" s="6">
        <v>31.21</v>
      </c>
      <c r="C26" s="6">
        <v>37.76</v>
      </c>
      <c r="D26" s="6">
        <v>44.97</v>
      </c>
      <c r="E26" s="6">
        <v>55.87</v>
      </c>
      <c r="F26" s="6">
        <v>66.67</v>
      </c>
      <c r="G26" s="6">
        <v>87.12</v>
      </c>
      <c r="H26" s="6">
        <v>93.44</v>
      </c>
      <c r="I26" s="6">
        <v>97.84</v>
      </c>
      <c r="J26" s="6">
        <v>104.34</v>
      </c>
      <c r="K26" s="6">
        <v>115.71</v>
      </c>
    </row>
    <row r="27" spans="1:11" x14ac:dyDescent="0.25">
      <c r="A27" s="4" t="s">
        <v>21</v>
      </c>
      <c r="B27" s="6">
        <v>161.88999999999999</v>
      </c>
      <c r="C27" s="6">
        <v>175.14</v>
      </c>
      <c r="D27" s="6">
        <v>130.52000000000001</v>
      </c>
      <c r="E27" s="6">
        <v>158.07</v>
      </c>
      <c r="F27" s="6">
        <v>223.12</v>
      </c>
      <c r="G27" s="6">
        <v>254.14</v>
      </c>
      <c r="H27" s="6">
        <v>156.76</v>
      </c>
      <c r="I27" s="6">
        <v>170.74</v>
      </c>
      <c r="J27" s="6">
        <v>344.11</v>
      </c>
      <c r="K27" s="6">
        <v>432.07</v>
      </c>
    </row>
    <row r="28" spans="1:11" x14ac:dyDescent="0.25">
      <c r="A28" s="4" t="s">
        <v>22</v>
      </c>
      <c r="B28" s="6">
        <v>72.47</v>
      </c>
      <c r="C28" s="6">
        <v>177.54</v>
      </c>
      <c r="D28" s="6">
        <v>273.39999999999998</v>
      </c>
      <c r="E28" s="6">
        <v>222.77</v>
      </c>
      <c r="F28" s="6">
        <v>216.22</v>
      </c>
      <c r="G28" s="6">
        <v>169.41</v>
      </c>
      <c r="H28" s="6">
        <v>208.27</v>
      </c>
      <c r="I28" s="6">
        <v>342</v>
      </c>
      <c r="J28" s="6">
        <v>854.56</v>
      </c>
      <c r="K28" s="6">
        <v>1105.8499999999999</v>
      </c>
    </row>
    <row r="29" spans="1:11" x14ac:dyDescent="0.25">
      <c r="A29" s="4" t="s">
        <v>23</v>
      </c>
      <c r="B29" s="6">
        <v>23.06</v>
      </c>
      <c r="C29" s="6">
        <v>57.26</v>
      </c>
      <c r="D29" s="6">
        <v>97.15</v>
      </c>
      <c r="E29" s="6">
        <v>78.03</v>
      </c>
      <c r="F29" s="6">
        <v>80.16</v>
      </c>
      <c r="G29" s="6">
        <v>34.26</v>
      </c>
      <c r="H29" s="6">
        <v>47.77</v>
      </c>
      <c r="I29" s="6">
        <v>85.27</v>
      </c>
      <c r="J29" s="6">
        <v>216.84</v>
      </c>
      <c r="K29" s="6">
        <v>280.74</v>
      </c>
    </row>
    <row r="30" spans="1:11" x14ac:dyDescent="0.25">
      <c r="A30" s="4" t="s">
        <v>24</v>
      </c>
      <c r="B30" s="6">
        <v>49.51</v>
      </c>
      <c r="C30" s="6">
        <v>121.69</v>
      </c>
      <c r="D30" s="6">
        <v>176.57</v>
      </c>
      <c r="E30" s="6">
        <v>144.74</v>
      </c>
      <c r="F30" s="6">
        <v>136.06</v>
      </c>
      <c r="G30" s="6">
        <v>135.15</v>
      </c>
      <c r="H30" s="6">
        <v>160.5</v>
      </c>
      <c r="I30" s="6">
        <v>256.73</v>
      </c>
      <c r="J30" s="6">
        <v>637.72</v>
      </c>
      <c r="K30" s="6">
        <v>825.11</v>
      </c>
    </row>
    <row r="31" spans="1:11" x14ac:dyDescent="0.25">
      <c r="A31" s="4" t="s">
        <v>25</v>
      </c>
      <c r="B31" s="6">
        <v>13.48</v>
      </c>
      <c r="C31" s="6">
        <v>25.02</v>
      </c>
      <c r="D31" s="6">
        <v>38.270000000000003</v>
      </c>
      <c r="E31" s="6">
        <v>36.36</v>
      </c>
      <c r="F31" s="6">
        <v>36.36</v>
      </c>
      <c r="G31" s="6">
        <v>36.36</v>
      </c>
      <c r="H31" s="6">
        <v>36.36</v>
      </c>
      <c r="I31" s="6">
        <v>57.4</v>
      </c>
      <c r="J31" s="6">
        <v>153.08000000000001</v>
      </c>
      <c r="K31" s="6">
        <v>204.87</v>
      </c>
    </row>
    <row r="33" spans="1:11" x14ac:dyDescent="0.25"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40" spans="1:11" x14ac:dyDescent="0.25">
      <c r="A40" s="2" t="s">
        <v>26</v>
      </c>
    </row>
    <row r="41" spans="1:11" s="3" customFormat="1" x14ac:dyDescent="0.25">
      <c r="A41" s="5" t="s">
        <v>10</v>
      </c>
      <c r="B41" s="33">
        <v>44834</v>
      </c>
      <c r="C41" s="33">
        <v>44926</v>
      </c>
      <c r="D41" s="33">
        <v>45016</v>
      </c>
      <c r="E41" s="33">
        <v>45107</v>
      </c>
      <c r="F41" s="33">
        <v>45199</v>
      </c>
      <c r="G41" s="33">
        <v>45291</v>
      </c>
      <c r="H41" s="33">
        <v>45382</v>
      </c>
      <c r="I41" s="33">
        <v>45473</v>
      </c>
      <c r="J41" s="33">
        <v>45565</v>
      </c>
      <c r="K41" s="33">
        <v>45657</v>
      </c>
    </row>
    <row r="42" spans="1:11" x14ac:dyDescent="0.25">
      <c r="A42" s="4" t="s">
        <v>11</v>
      </c>
      <c r="B42" s="6">
        <v>3234.88</v>
      </c>
      <c r="C42" s="6">
        <v>3938.92</v>
      </c>
      <c r="D42" s="6">
        <v>4084.33</v>
      </c>
      <c r="E42" s="6">
        <v>3767.09</v>
      </c>
      <c r="F42" s="6">
        <v>3925.46</v>
      </c>
      <c r="G42" s="6">
        <v>4008.53</v>
      </c>
      <c r="H42" s="6">
        <v>4455.1099999999997</v>
      </c>
      <c r="I42" s="6">
        <v>4010.52</v>
      </c>
      <c r="J42" s="6">
        <v>4644.51</v>
      </c>
      <c r="K42" s="6">
        <v>4716.42</v>
      </c>
    </row>
    <row r="43" spans="1:11" x14ac:dyDescent="0.25">
      <c r="A43" s="4" t="s">
        <v>27</v>
      </c>
      <c r="B43" s="6">
        <v>3009</v>
      </c>
      <c r="C43" s="6">
        <v>3595.7</v>
      </c>
      <c r="D43" s="6">
        <v>3660.44</v>
      </c>
      <c r="E43" s="6">
        <v>3420.97</v>
      </c>
      <c r="F43" s="6">
        <v>3576.2</v>
      </c>
      <c r="G43" s="6">
        <v>3603.57</v>
      </c>
      <c r="H43" s="6">
        <v>4028.4</v>
      </c>
      <c r="I43" s="6">
        <v>3634.89</v>
      </c>
      <c r="J43" s="6">
        <v>4287.97</v>
      </c>
      <c r="K43" s="6">
        <v>4360.3999999999996</v>
      </c>
    </row>
    <row r="44" spans="1:11" x14ac:dyDescent="0.25">
      <c r="A44" s="4" t="s">
        <v>19</v>
      </c>
      <c r="B44" s="6">
        <v>12.22</v>
      </c>
      <c r="C44" s="6">
        <v>6.63</v>
      </c>
      <c r="D44" s="6">
        <v>10.68</v>
      </c>
      <c r="E44" s="6">
        <v>13.86</v>
      </c>
      <c r="F44" s="6">
        <v>18.760000000000002</v>
      </c>
      <c r="G44" s="6">
        <v>21</v>
      </c>
      <c r="H44" s="6">
        <v>27.46</v>
      </c>
      <c r="I44" s="6">
        <v>16.22</v>
      </c>
      <c r="J44" s="6">
        <v>32.81</v>
      </c>
      <c r="K44" s="6">
        <v>34.18</v>
      </c>
    </row>
    <row r="45" spans="1:11" x14ac:dyDescent="0.25">
      <c r="A45" s="4" t="s">
        <v>20</v>
      </c>
      <c r="B45" s="6">
        <v>26.05</v>
      </c>
      <c r="C45" s="6">
        <v>26.08</v>
      </c>
      <c r="D45" s="6">
        <v>27.28</v>
      </c>
      <c r="E45" s="6">
        <v>27.23</v>
      </c>
      <c r="F45" s="6">
        <v>28.17</v>
      </c>
      <c r="G45" s="6">
        <v>28.84</v>
      </c>
      <c r="H45" s="6">
        <v>31.47</v>
      </c>
      <c r="I45" s="6">
        <v>31.11</v>
      </c>
      <c r="J45" s="6">
        <v>32.06</v>
      </c>
      <c r="K45" s="6">
        <v>33.369999999999997</v>
      </c>
    </row>
    <row r="46" spans="1:11" x14ac:dyDescent="0.25">
      <c r="A46" s="4" t="s">
        <v>21</v>
      </c>
      <c r="B46" s="6">
        <v>71.14</v>
      </c>
      <c r="C46" s="6">
        <v>93.96</v>
      </c>
      <c r="D46" s="6">
        <v>79.09</v>
      </c>
      <c r="E46" s="6">
        <v>69.599999999999994</v>
      </c>
      <c r="F46" s="6">
        <v>103.08</v>
      </c>
      <c r="G46" s="6">
        <v>112.82</v>
      </c>
      <c r="H46" s="6">
        <v>101.08</v>
      </c>
      <c r="I46" s="6">
        <v>90.35</v>
      </c>
      <c r="J46" s="6">
        <v>100.56</v>
      </c>
      <c r="K46" s="6">
        <v>118.35</v>
      </c>
    </row>
    <row r="47" spans="1:11" x14ac:dyDescent="0.25">
      <c r="A47" s="4" t="s">
        <v>22</v>
      </c>
      <c r="B47" s="6">
        <v>140.91</v>
      </c>
      <c r="C47" s="6">
        <v>229.81</v>
      </c>
      <c r="D47" s="6">
        <v>328.2</v>
      </c>
      <c r="E47" s="6">
        <v>263.14999999999998</v>
      </c>
      <c r="F47" s="6">
        <v>236.77</v>
      </c>
      <c r="G47" s="6">
        <v>284.3</v>
      </c>
      <c r="H47" s="6">
        <v>321.62</v>
      </c>
      <c r="I47" s="6">
        <v>270.39</v>
      </c>
      <c r="J47" s="6">
        <v>256.73</v>
      </c>
      <c r="K47" s="6">
        <v>238.48</v>
      </c>
    </row>
    <row r="48" spans="1:11" x14ac:dyDescent="0.25">
      <c r="A48" s="4" t="s">
        <v>23</v>
      </c>
      <c r="B48" s="6">
        <v>38.28</v>
      </c>
      <c r="C48" s="6">
        <v>59.91</v>
      </c>
      <c r="D48" s="6">
        <v>85.47</v>
      </c>
      <c r="E48" s="6">
        <v>65.72</v>
      </c>
      <c r="F48" s="6">
        <v>62.89</v>
      </c>
      <c r="G48" s="6">
        <v>66.73</v>
      </c>
      <c r="H48" s="6">
        <v>85.4</v>
      </c>
      <c r="I48" s="6">
        <v>67.849999999999994</v>
      </c>
      <c r="J48" s="6">
        <v>62.85</v>
      </c>
      <c r="K48" s="6">
        <v>63.56</v>
      </c>
    </row>
    <row r="49" spans="1:11" x14ac:dyDescent="0.25">
      <c r="A49" s="4" t="s">
        <v>24</v>
      </c>
      <c r="B49" s="6">
        <v>102.63</v>
      </c>
      <c r="C49" s="6">
        <v>169.9</v>
      </c>
      <c r="D49" s="6">
        <v>242.73</v>
      </c>
      <c r="E49" s="6">
        <v>197.43</v>
      </c>
      <c r="F49" s="6">
        <v>173.88</v>
      </c>
      <c r="G49" s="6">
        <v>217.57</v>
      </c>
      <c r="H49" s="6">
        <v>236.22</v>
      </c>
      <c r="I49" s="6">
        <v>202.54</v>
      </c>
      <c r="J49" s="6">
        <v>193.88</v>
      </c>
      <c r="K49" s="6">
        <v>174.92</v>
      </c>
    </row>
    <row r="50" spans="1:11" x14ac:dyDescent="0.25">
      <c r="A50" s="4" t="s">
        <v>28</v>
      </c>
      <c r="B50" s="6">
        <v>225.88</v>
      </c>
      <c r="C50" s="6">
        <v>343.22</v>
      </c>
      <c r="D50" s="6">
        <v>423.89</v>
      </c>
      <c r="E50" s="6">
        <v>346.12</v>
      </c>
      <c r="F50" s="6">
        <v>349.26</v>
      </c>
      <c r="G50" s="6">
        <v>404.96</v>
      </c>
      <c r="H50" s="6">
        <v>426.71</v>
      </c>
      <c r="I50" s="6">
        <v>375.63</v>
      </c>
      <c r="J50" s="6">
        <v>356.54</v>
      </c>
      <c r="K50" s="6">
        <v>356.02</v>
      </c>
    </row>
    <row r="55" spans="1:11" x14ac:dyDescent="0.25">
      <c r="A55" s="2" t="s">
        <v>29</v>
      </c>
    </row>
    <row r="56" spans="1:11" s="3" customFormat="1" x14ac:dyDescent="0.25">
      <c r="A56" s="5" t="s">
        <v>10</v>
      </c>
      <c r="B56" s="33">
        <v>42094</v>
      </c>
      <c r="C56" s="33">
        <v>42460</v>
      </c>
      <c r="D56" s="33">
        <v>42825</v>
      </c>
      <c r="E56" s="33">
        <v>43190</v>
      </c>
      <c r="F56" s="33">
        <v>43555</v>
      </c>
      <c r="G56" s="33">
        <v>43921</v>
      </c>
      <c r="H56" s="33">
        <v>44286</v>
      </c>
      <c r="I56" s="33">
        <v>44651</v>
      </c>
      <c r="J56" s="33">
        <v>45016</v>
      </c>
      <c r="K56" s="33">
        <v>45382</v>
      </c>
    </row>
    <row r="57" spans="1:11" x14ac:dyDescent="0.25">
      <c r="A57" s="4" t="s">
        <v>30</v>
      </c>
      <c r="B57" s="6">
        <v>38.5</v>
      </c>
      <c r="C57" s="6">
        <v>38.5</v>
      </c>
      <c r="D57" s="6">
        <v>38.270000000000003</v>
      </c>
      <c r="E57" s="6">
        <v>38.270000000000003</v>
      </c>
      <c r="F57" s="6">
        <v>38.270000000000003</v>
      </c>
      <c r="G57" s="6">
        <v>38.270000000000003</v>
      </c>
      <c r="H57" s="6">
        <v>38.270000000000003</v>
      </c>
      <c r="I57" s="6">
        <v>38.270000000000003</v>
      </c>
      <c r="J57" s="6">
        <v>38.270000000000003</v>
      </c>
      <c r="K57" s="6">
        <v>40.17</v>
      </c>
    </row>
    <row r="58" spans="1:11" x14ac:dyDescent="0.25">
      <c r="A58" s="4" t="s">
        <v>31</v>
      </c>
      <c r="B58" s="6">
        <v>691.31</v>
      </c>
      <c r="C58" s="6">
        <v>815.44</v>
      </c>
      <c r="D58" s="6">
        <v>997.85</v>
      </c>
      <c r="E58" s="6">
        <v>1069.98</v>
      </c>
      <c r="F58" s="6">
        <v>1164.0999999999999</v>
      </c>
      <c r="G58" s="6">
        <v>1128.1600000000001</v>
      </c>
      <c r="H58" s="6">
        <v>1361.25</v>
      </c>
      <c r="I58" s="6">
        <v>1676.96</v>
      </c>
      <c r="J58" s="6">
        <v>2198.12</v>
      </c>
      <c r="K58" s="6">
        <v>3836.27</v>
      </c>
    </row>
    <row r="59" spans="1:11" x14ac:dyDescent="0.25">
      <c r="A59" s="4" t="s">
        <v>32</v>
      </c>
      <c r="B59" s="6">
        <v>494.16</v>
      </c>
      <c r="C59" s="6">
        <v>384.43</v>
      </c>
      <c r="D59" s="6">
        <v>304.62</v>
      </c>
      <c r="E59" s="6">
        <v>362.53</v>
      </c>
      <c r="F59" s="6">
        <v>253.28</v>
      </c>
      <c r="G59" s="6">
        <v>371.54</v>
      </c>
      <c r="H59" s="6">
        <v>324.81</v>
      </c>
      <c r="I59" s="6">
        <v>359.19</v>
      </c>
      <c r="J59" s="6">
        <v>376.23</v>
      </c>
      <c r="K59" s="114">
        <v>475.61</v>
      </c>
    </row>
    <row r="60" spans="1:11" x14ac:dyDescent="0.25">
      <c r="A60" s="4" t="s">
        <v>33</v>
      </c>
      <c r="B60" s="6">
        <v>1731.95</v>
      </c>
      <c r="C60" s="6">
        <v>1680.19</v>
      </c>
      <c r="D60" s="6">
        <v>2107.48</v>
      </c>
      <c r="E60" s="6">
        <v>2805.07</v>
      </c>
      <c r="F60" s="6">
        <v>3501.32</v>
      </c>
      <c r="G60" s="6">
        <v>3115.83</v>
      </c>
      <c r="H60" s="6">
        <v>3274.65</v>
      </c>
      <c r="I60" s="6">
        <v>4533.1000000000004</v>
      </c>
      <c r="J60" s="6">
        <v>5605.03</v>
      </c>
      <c r="K60" s="6">
        <v>5263.71</v>
      </c>
    </row>
    <row r="61" spans="1:11" s="2" customFormat="1" x14ac:dyDescent="0.25">
      <c r="A61" s="2" t="s">
        <v>34</v>
      </c>
      <c r="B61" s="6">
        <v>2955.92</v>
      </c>
      <c r="C61" s="6">
        <v>2918.56</v>
      </c>
      <c r="D61" s="6">
        <v>3448.22</v>
      </c>
      <c r="E61" s="6">
        <v>4275.8500000000004</v>
      </c>
      <c r="F61" s="6">
        <v>4956.97</v>
      </c>
      <c r="G61" s="6">
        <v>4653.8</v>
      </c>
      <c r="H61" s="6">
        <v>4998.9799999999996</v>
      </c>
      <c r="I61" s="6">
        <v>6607.52</v>
      </c>
      <c r="J61" s="6">
        <v>8217.65</v>
      </c>
      <c r="K61" s="6">
        <v>9615.76</v>
      </c>
    </row>
    <row r="62" spans="1:11" x14ac:dyDescent="0.25">
      <c r="A62" s="4" t="s">
        <v>35</v>
      </c>
      <c r="B62" s="6">
        <v>394.56</v>
      </c>
      <c r="C62" s="6">
        <v>397.85</v>
      </c>
      <c r="D62" s="6">
        <v>573.87</v>
      </c>
      <c r="E62" s="6">
        <v>648.52</v>
      </c>
      <c r="F62" s="6">
        <v>708.84</v>
      </c>
      <c r="G62" s="6">
        <v>884.66</v>
      </c>
      <c r="H62" s="6">
        <v>877.91</v>
      </c>
      <c r="I62" s="6">
        <v>881.24</v>
      </c>
      <c r="J62" s="6">
        <v>950.48</v>
      </c>
      <c r="K62" s="6">
        <v>1192.83</v>
      </c>
    </row>
    <row r="63" spans="1:11" x14ac:dyDescent="0.25">
      <c r="A63" s="4" t="s">
        <v>36</v>
      </c>
      <c r="B63" s="6">
        <v>10.24</v>
      </c>
      <c r="C63" s="6">
        <v>56.11</v>
      </c>
      <c r="D63" s="6">
        <v>27.75</v>
      </c>
      <c r="E63" s="6">
        <v>19.5</v>
      </c>
      <c r="F63" s="6">
        <v>103.48</v>
      </c>
      <c r="G63" s="6">
        <v>54.71</v>
      </c>
      <c r="H63" s="6">
        <v>28.71</v>
      </c>
      <c r="I63" s="6">
        <v>38.49</v>
      </c>
      <c r="J63" s="6">
        <v>99.31</v>
      </c>
      <c r="K63" s="6">
        <v>122.45</v>
      </c>
    </row>
    <row r="64" spans="1:11" x14ac:dyDescent="0.25">
      <c r="A64" s="4" t="s">
        <v>37</v>
      </c>
      <c r="B64" s="6">
        <v>5.26</v>
      </c>
      <c r="C64" s="6">
        <v>112.45</v>
      </c>
      <c r="D64" s="6">
        <v>118.57</v>
      </c>
      <c r="E64" s="6"/>
      <c r="F64" s="6">
        <v>186.92</v>
      </c>
      <c r="G64" s="6"/>
      <c r="H64" s="6">
        <v>60.4</v>
      </c>
      <c r="I64" s="6">
        <v>30.52</v>
      </c>
      <c r="J64" s="6">
        <v>54.28</v>
      </c>
      <c r="K64" s="6">
        <v>10.76</v>
      </c>
    </row>
    <row r="65" spans="1:17" x14ac:dyDescent="0.25">
      <c r="A65" s="4" t="s">
        <v>38</v>
      </c>
      <c r="B65" s="6">
        <v>2545.86</v>
      </c>
      <c r="C65" s="6">
        <v>2352.15</v>
      </c>
      <c r="D65" s="6">
        <v>2728.03</v>
      </c>
      <c r="E65" s="6">
        <v>3607.83</v>
      </c>
      <c r="F65" s="6">
        <v>3957.73</v>
      </c>
      <c r="G65" s="6">
        <v>3714.43</v>
      </c>
      <c r="H65" s="6">
        <v>4031.96</v>
      </c>
      <c r="I65" s="6">
        <v>5657.27</v>
      </c>
      <c r="J65" s="6">
        <v>7113.58</v>
      </c>
      <c r="K65" s="6">
        <v>8289.7199999999993</v>
      </c>
    </row>
    <row r="66" spans="1:17" s="2" customFormat="1" x14ac:dyDescent="0.25">
      <c r="A66" s="2" t="s">
        <v>34</v>
      </c>
      <c r="B66" s="6">
        <v>2955.92</v>
      </c>
      <c r="C66" s="6">
        <v>2918.56</v>
      </c>
      <c r="D66" s="6">
        <v>3448.22</v>
      </c>
      <c r="E66" s="6">
        <v>4275.8500000000004</v>
      </c>
      <c r="F66" s="6">
        <v>4956.97</v>
      </c>
      <c r="G66" s="6">
        <v>4653.8</v>
      </c>
      <c r="H66" s="6">
        <v>4998.9799999999996</v>
      </c>
      <c r="I66" s="6">
        <v>6607.52</v>
      </c>
      <c r="J66" s="6">
        <v>8217.65</v>
      </c>
      <c r="K66" s="6">
        <v>9615.76</v>
      </c>
    </row>
    <row r="67" spans="1:17" x14ac:dyDescent="0.25">
      <c r="A67" s="4" t="s">
        <v>39</v>
      </c>
      <c r="B67" s="6">
        <v>1267</v>
      </c>
      <c r="C67" s="6">
        <v>1090.3900000000001</v>
      </c>
      <c r="D67" s="6">
        <v>1254.32</v>
      </c>
      <c r="E67" s="6">
        <v>1734.48</v>
      </c>
      <c r="F67" s="6">
        <v>2141.61</v>
      </c>
      <c r="G67" s="6">
        <v>1898.6</v>
      </c>
      <c r="H67" s="6">
        <v>1860.57</v>
      </c>
      <c r="I67" s="6">
        <v>2531.13</v>
      </c>
      <c r="J67" s="6">
        <v>3198.07</v>
      </c>
      <c r="K67" s="6">
        <v>3928.91</v>
      </c>
    </row>
    <row r="68" spans="1:17" x14ac:dyDescent="0.25">
      <c r="A68" s="4" t="s">
        <v>40</v>
      </c>
      <c r="B68" s="6">
        <v>944.25</v>
      </c>
      <c r="C68" s="6">
        <v>769.76</v>
      </c>
      <c r="D68" s="6">
        <v>993.54</v>
      </c>
      <c r="E68" s="6">
        <v>1212.26</v>
      </c>
      <c r="F68" s="6">
        <v>1282.8800000000001</v>
      </c>
      <c r="G68" s="6">
        <v>1331.43</v>
      </c>
      <c r="H68" s="6">
        <v>1562.71</v>
      </c>
      <c r="I68" s="6">
        <v>2138.65</v>
      </c>
      <c r="J68" s="6">
        <v>2575.64</v>
      </c>
      <c r="K68" s="6">
        <v>2864.46</v>
      </c>
    </row>
    <row r="69" spans="1:17" x14ac:dyDescent="0.25">
      <c r="A69" s="4" t="s">
        <v>41</v>
      </c>
      <c r="B69" s="6">
        <v>100.47</v>
      </c>
      <c r="C69" s="6">
        <v>133.86000000000001</v>
      </c>
      <c r="D69" s="6">
        <v>122.97</v>
      </c>
      <c r="E69" s="6">
        <v>274.37</v>
      </c>
      <c r="F69" s="6">
        <v>225.29</v>
      </c>
      <c r="G69" s="6">
        <v>176.23</v>
      </c>
      <c r="H69" s="6">
        <v>222.45</v>
      </c>
      <c r="I69" s="6">
        <v>266.41000000000003</v>
      </c>
      <c r="J69" s="6">
        <v>530.1</v>
      </c>
      <c r="K69" s="6">
        <v>646.03</v>
      </c>
      <c r="Q69" s="6"/>
    </row>
    <row r="70" spans="1:17" x14ac:dyDescent="0.25">
      <c r="A70" s="4" t="s">
        <v>42</v>
      </c>
      <c r="B70" s="6">
        <v>38496500</v>
      </c>
      <c r="C70" s="6">
        <v>38496769</v>
      </c>
      <c r="D70" s="6">
        <v>38268619</v>
      </c>
      <c r="E70" s="6">
        <v>38268619</v>
      </c>
      <c r="F70" s="6">
        <v>38268619</v>
      </c>
      <c r="G70" s="6">
        <v>38268619</v>
      </c>
      <c r="H70" s="6">
        <v>38268619</v>
      </c>
      <c r="I70" s="6">
        <v>38268619</v>
      </c>
      <c r="J70" s="6">
        <v>38268619</v>
      </c>
      <c r="K70" s="6">
        <v>40168315</v>
      </c>
    </row>
    <row r="71" spans="1:17" x14ac:dyDescent="0.25">
      <c r="A71" s="4" t="s">
        <v>43</v>
      </c>
      <c r="B71" s="6"/>
      <c r="C71"/>
      <c r="D71"/>
      <c r="G71"/>
      <c r="H71"/>
      <c r="I71"/>
      <c r="J71"/>
      <c r="K71"/>
    </row>
    <row r="72" spans="1:17" x14ac:dyDescent="0.25">
      <c r="A72" s="4" t="s">
        <v>44</v>
      </c>
      <c r="B72" s="6">
        <v>10</v>
      </c>
      <c r="C72" s="6">
        <v>10</v>
      </c>
      <c r="D72" s="6">
        <v>10</v>
      </c>
      <c r="E72" s="6">
        <v>10</v>
      </c>
      <c r="F72" s="6">
        <v>10</v>
      </c>
      <c r="G72" s="6">
        <v>10</v>
      </c>
      <c r="H72" s="6">
        <v>10</v>
      </c>
      <c r="I72" s="6">
        <v>10</v>
      </c>
      <c r="J72" s="6">
        <v>10</v>
      </c>
      <c r="K72" s="6">
        <v>10</v>
      </c>
    </row>
    <row r="80" spans="1:17" x14ac:dyDescent="0.25">
      <c r="A80" s="2" t="s">
        <v>45</v>
      </c>
    </row>
    <row r="81" spans="1:12" s="3" customFormat="1" x14ac:dyDescent="0.25">
      <c r="A81" s="5" t="s">
        <v>10</v>
      </c>
      <c r="B81" s="33">
        <v>42094</v>
      </c>
      <c r="C81" s="33">
        <v>42460</v>
      </c>
      <c r="D81" s="33">
        <v>42825</v>
      </c>
      <c r="E81" s="33">
        <v>43190</v>
      </c>
      <c r="F81" s="33">
        <v>43555</v>
      </c>
      <c r="G81" s="33">
        <v>43921</v>
      </c>
      <c r="H81" s="33">
        <v>44286</v>
      </c>
      <c r="I81" s="33">
        <v>44651</v>
      </c>
      <c r="J81" s="33">
        <v>45016</v>
      </c>
      <c r="K81" s="33">
        <v>45382</v>
      </c>
      <c r="L81" s="34"/>
    </row>
    <row r="82" spans="1:12" s="2" customFormat="1" x14ac:dyDescent="0.25">
      <c r="A82" s="4" t="s">
        <v>46</v>
      </c>
      <c r="B82" s="6">
        <v>298.43</v>
      </c>
      <c r="C82" s="6">
        <v>411.76</v>
      </c>
      <c r="D82" s="6">
        <v>312.44</v>
      </c>
      <c r="E82" s="6">
        <v>225.04</v>
      </c>
      <c r="F82" s="6">
        <v>632.04</v>
      </c>
      <c r="G82" s="6">
        <v>94.17</v>
      </c>
      <c r="H82" s="6">
        <v>281.37</v>
      </c>
      <c r="I82" s="6">
        <v>243.75</v>
      </c>
      <c r="J82" s="6">
        <v>698.34</v>
      </c>
      <c r="K82" s="6">
        <v>-283.29000000000002</v>
      </c>
    </row>
    <row r="83" spans="1:12" x14ac:dyDescent="0.25">
      <c r="A83" s="4" t="s">
        <v>47</v>
      </c>
      <c r="B83" s="6">
        <v>-59.3</v>
      </c>
      <c r="C83" s="6">
        <v>-222.86</v>
      </c>
      <c r="D83" s="6">
        <v>-165.89</v>
      </c>
      <c r="E83" s="6">
        <v>-4.72</v>
      </c>
      <c r="F83" s="6">
        <v>-387.81</v>
      </c>
      <c r="G83" s="6">
        <v>45.34</v>
      </c>
      <c r="H83" s="6">
        <v>-115.11</v>
      </c>
      <c r="I83" s="6">
        <v>-91.26</v>
      </c>
      <c r="J83" s="6">
        <v>-267.14</v>
      </c>
      <c r="K83" s="6">
        <v>-266.68</v>
      </c>
    </row>
    <row r="84" spans="1:12" x14ac:dyDescent="0.25">
      <c r="A84" s="4" t="s">
        <v>48</v>
      </c>
      <c r="B84" s="6">
        <v>-369.27</v>
      </c>
      <c r="C84" s="6">
        <v>-152.84</v>
      </c>
      <c r="D84" s="6">
        <v>-157.44999999999999</v>
      </c>
      <c r="E84" s="6">
        <v>-68.92</v>
      </c>
      <c r="F84" s="6">
        <v>-293.31</v>
      </c>
      <c r="G84" s="6">
        <v>-188.83</v>
      </c>
      <c r="H84" s="6">
        <v>-123.16</v>
      </c>
      <c r="I84" s="6">
        <v>-106.35</v>
      </c>
      <c r="J84" s="6">
        <v>-185.55</v>
      </c>
      <c r="K84" s="6">
        <v>635.16</v>
      </c>
    </row>
    <row r="85" spans="1:12" s="2" customFormat="1" x14ac:dyDescent="0.25">
      <c r="A85" s="4" t="s">
        <v>49</v>
      </c>
      <c r="B85" s="6">
        <v>-130.13999999999999</v>
      </c>
      <c r="C85" s="6">
        <v>36.06</v>
      </c>
      <c r="D85" s="6">
        <v>-10.9</v>
      </c>
      <c r="E85" s="6">
        <v>151.4</v>
      </c>
      <c r="F85" s="6">
        <v>-49.08</v>
      </c>
      <c r="G85" s="6">
        <v>-49.32</v>
      </c>
      <c r="H85" s="6">
        <v>43.1</v>
      </c>
      <c r="I85" s="6">
        <v>46.14</v>
      </c>
      <c r="J85" s="6">
        <v>245.65</v>
      </c>
      <c r="K85" s="6">
        <v>85.19</v>
      </c>
    </row>
    <row r="90" spans="1:12" s="2" customFormat="1" x14ac:dyDescent="0.25">
      <c r="A90" s="2" t="s">
        <v>50</v>
      </c>
      <c r="B90" s="6">
        <v>370.45</v>
      </c>
      <c r="C90" s="6">
        <v>460.95</v>
      </c>
      <c r="D90" s="6">
        <v>749.55</v>
      </c>
      <c r="E90" s="6">
        <v>728</v>
      </c>
      <c r="F90" s="6">
        <v>671.9</v>
      </c>
      <c r="G90" s="6">
        <v>288.2</v>
      </c>
      <c r="H90" s="6">
        <v>475.3</v>
      </c>
      <c r="I90" s="6">
        <v>649.25</v>
      </c>
      <c r="J90" s="6">
        <v>2504.9</v>
      </c>
      <c r="K90" s="6">
        <v>6978.9</v>
      </c>
    </row>
    <row r="92" spans="1:12" s="2" customFormat="1" x14ac:dyDescent="0.25">
      <c r="A92" s="2" t="s">
        <v>51</v>
      </c>
    </row>
    <row r="93" spans="1:12" x14ac:dyDescent="0.25">
      <c r="A93" s="4" t="s">
        <v>52</v>
      </c>
      <c r="B93" s="7">
        <v>3.85</v>
      </c>
      <c r="C93" s="7">
        <v>3.85</v>
      </c>
      <c r="D93" s="7">
        <v>3.83</v>
      </c>
      <c r="E93" s="7">
        <v>3.83</v>
      </c>
      <c r="F93" s="7">
        <v>3.83</v>
      </c>
      <c r="G93" s="7">
        <v>3.83</v>
      </c>
      <c r="H93" s="7">
        <v>3.83</v>
      </c>
      <c r="I93" s="7">
        <v>3.83</v>
      </c>
      <c r="J93" s="7">
        <v>3.83</v>
      </c>
      <c r="K93" s="7">
        <v>4.0199999999999996</v>
      </c>
    </row>
  </sheetData>
  <mergeCells count="2">
    <mergeCell ref="E1:K1"/>
    <mergeCell ref="E2:K2"/>
  </mergeCells>
  <conditionalFormatting sqref="E1:K1">
    <cfRule type="cellIs" dxfId="0" priority="1" operator="notEqual">
      <formula>""</formula>
    </cfRule>
  </conditionalFormatting>
  <hyperlinks>
    <hyperlink ref="E1:K1" r:id="rId1" display="https://www.screener.in/excel/" xr:uid="{6D27C303-A14F-134E-AAE8-555973D019B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Glance</vt:lpstr>
      <vt:lpstr>QTR</vt:lpstr>
      <vt:lpstr>P&amp;L</vt:lpstr>
      <vt:lpstr>Balance Sheet</vt:lpstr>
      <vt:lpstr>Data Sheet</vt:lpstr>
      <vt:lpstr>Glance!Print_Area</vt:lpstr>
      <vt:lpstr>UPDATE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TechnoFunda Investing Excel Template</dc:title>
  <dc:subject>TechnoFunda Investing</dc:subject>
  <dc:creator>Vivek Mashrani</dc:creator>
  <cp:keywords>TechnoFunda;Screener;Investing</cp:keywords>
  <cp:lastModifiedBy>Hussain Khan</cp:lastModifiedBy>
  <dcterms:created xsi:type="dcterms:W3CDTF">2020-12-23T10:12:59Z</dcterms:created>
  <dcterms:modified xsi:type="dcterms:W3CDTF">2025-05-11T08:58:25Z</dcterms:modified>
</cp:coreProperties>
</file>